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9645" activeTab="0"/>
  </bookViews>
  <sheets>
    <sheet name="Sources and Uses of Funds USD" sheetId="1" r:id="rId1"/>
    <sheet name="Sources and Uses of Funds KSHS" sheetId="2" r:id="rId2"/>
    <sheet name="Uses of Funds as per PIM USD" sheetId="3" r:id="rId3"/>
    <sheet name="Uses of Funds as per PIM KSH" sheetId="4" r:id="rId4"/>
    <sheet name="EEP Statement Kshs" sheetId="5" r:id="rId5"/>
    <sheet name="EEP Statement USD)" sheetId="6" r:id="rId6"/>
    <sheet name="DLI Statement" sheetId="7" r:id="rId7"/>
    <sheet name="ACTIVITIES" sheetId="8" r:id="rId8"/>
  </sheets>
  <definedNames>
    <definedName name="_xlnm.Print_Area" localSheetId="4">'EEP Statement Kshs'!$A$1:$D$31</definedName>
  </definedNames>
  <calcPr fullCalcOnLoad="1"/>
</workbook>
</file>

<file path=xl/sharedStrings.xml><?xml version="1.0" encoding="utf-8"?>
<sst xmlns="http://schemas.openxmlformats.org/spreadsheetml/2006/main" count="763" uniqueCount="470">
  <si>
    <t>Total</t>
  </si>
  <si>
    <t>Expenditure</t>
  </si>
  <si>
    <t>Sources of Fund</t>
  </si>
  <si>
    <t>Opening Cash Balance</t>
  </si>
  <si>
    <t>Add Receipts</t>
  </si>
  <si>
    <t>Total Financing</t>
  </si>
  <si>
    <t>Total Closing Cash Balance</t>
  </si>
  <si>
    <t>Variance</t>
  </si>
  <si>
    <t>Others</t>
  </si>
  <si>
    <t>Project</t>
  </si>
  <si>
    <t>Revised</t>
  </si>
  <si>
    <t>PAD</t>
  </si>
  <si>
    <t>Closing Balances</t>
  </si>
  <si>
    <t>Total Uses of Funds by Components</t>
  </si>
  <si>
    <t>Sub Total</t>
  </si>
  <si>
    <t>Explanation of</t>
  </si>
  <si>
    <t xml:space="preserve">PAD /Life of </t>
  </si>
  <si>
    <t>Financial Year End</t>
  </si>
  <si>
    <t>Cummulative for</t>
  </si>
  <si>
    <t>Statement of Sources and Uses of Funds</t>
  </si>
  <si>
    <t>World Bank IDA Funds</t>
  </si>
  <si>
    <t>Uses of Funds (Breakdown)</t>
  </si>
  <si>
    <t xml:space="preserve">Grand Total Uses of Funds </t>
  </si>
  <si>
    <t>DISBURSEMENT LINKED TO INDICATORS</t>
  </si>
  <si>
    <t>ACTIONS TO BE COMPLETED</t>
  </si>
  <si>
    <t>STATUS OF ACTIONS COMPLETION</t>
  </si>
  <si>
    <t>NOTES ANNEX</t>
  </si>
  <si>
    <t>DLI2</t>
  </si>
  <si>
    <t>DLI3</t>
  </si>
  <si>
    <t>DLI4</t>
  </si>
  <si>
    <t>Government Funds</t>
  </si>
  <si>
    <t>Student Fees</t>
  </si>
  <si>
    <t>Less:  ACE Expenditure as per Project Implementation Plan</t>
  </si>
  <si>
    <t>Expenditure Classification 1 as per Project Implementation Plan</t>
  </si>
  <si>
    <t>EEP 2: Non Procurable Expenditure as defined in Financing Agreement</t>
  </si>
  <si>
    <t>Total EEPs</t>
  </si>
  <si>
    <t>Eligible Expenditure Program (EEP)</t>
  </si>
  <si>
    <t xml:space="preserve">Statement of Reimbursable Eligible Expenditure Programs (EEPs) </t>
  </si>
  <si>
    <t>Project inception workshop and official launch</t>
  </si>
  <si>
    <t>Component total ACE LEADER</t>
  </si>
  <si>
    <t>(Component total partners)</t>
  </si>
  <si>
    <t xml:space="preserve">% USED PAID </t>
  </si>
  <si>
    <t xml:space="preserve">% USED (PAID &amp; COMMITTED) </t>
  </si>
  <si>
    <t>MOI UNIVERSITY</t>
  </si>
  <si>
    <t xml:space="preserve">                                      AFRICA CENTRE OF EXCELLENCE (ACE II)</t>
  </si>
  <si>
    <t>NO.</t>
  </si>
  <si>
    <t>ITEM/SERVICE</t>
  </si>
  <si>
    <t>FUNDS</t>
  </si>
  <si>
    <t xml:space="preserve">                                                                      TIMING OF ACTIVITIES</t>
  </si>
  <si>
    <t>TOTALS</t>
  </si>
  <si>
    <t>DESCRIPTION</t>
  </si>
  <si>
    <t>ALLOCATED</t>
  </si>
  <si>
    <t>2017/2018 1ST</t>
  </si>
  <si>
    <t>2017/2018 2ND</t>
  </si>
  <si>
    <t>2017/2018 3RD</t>
  </si>
  <si>
    <t>2017/2018 4TH</t>
  </si>
  <si>
    <t xml:space="preserve">IN USD. </t>
  </si>
  <si>
    <t>QUARTER</t>
  </si>
  <si>
    <t>JUL-SEP</t>
  </si>
  <si>
    <t>OCT-DEC</t>
  </si>
  <si>
    <t>JAN-MAR</t>
  </si>
  <si>
    <t>APRIL-JULY</t>
  </si>
  <si>
    <t>Put in place operational manual for ACE administration,: procurement, financial management, independent evaluation committee for award of scholarships and research grants, monitoring and evaluation (standard operating procedures)</t>
  </si>
  <si>
    <t>1.2.1</t>
  </si>
  <si>
    <t>Drafting financial and procurement plans</t>
  </si>
  <si>
    <t>1.2.2</t>
  </si>
  <si>
    <t>Drafting all standard operating procedures</t>
  </si>
  <si>
    <t>SUB-TOTALS</t>
  </si>
  <si>
    <t xml:space="preserve"> ACE Implementation team meeting on world bank procedures</t>
  </si>
  <si>
    <t>1.3.1</t>
  </si>
  <si>
    <t>1.3.2</t>
  </si>
  <si>
    <t>Partners support to inception workshop</t>
  </si>
  <si>
    <t xml:space="preserve"> Community and stakeholders sensitization</t>
  </si>
  <si>
    <t>1.4.2</t>
  </si>
  <si>
    <t>Stakeholders workshop (community sensitization on project)</t>
  </si>
  <si>
    <t>SUB-TOTAL</t>
  </si>
  <si>
    <t xml:space="preserve"> Refurbish Centre Office Building</t>
  </si>
  <si>
    <t>1.5.1</t>
  </si>
  <si>
    <t>Refurbishing centre buildings</t>
  </si>
  <si>
    <t>1.5.2</t>
  </si>
  <si>
    <t>Purchasing centre’s facilities and High performance   Desktop PC (Apple iMac)</t>
  </si>
  <si>
    <t>Conduct seminars for self evaluation of project progress and industrial linkage committee meeting</t>
  </si>
  <si>
    <t>1.6.1</t>
  </si>
  <si>
    <t>Self-evaluation seminars</t>
  </si>
  <si>
    <t>1.6.2</t>
  </si>
  <si>
    <t>Industrial committee meeting</t>
  </si>
  <si>
    <t>1.6.3</t>
  </si>
  <si>
    <t>Needs assessment for short courses, MSc course development in phytochemistry and one (1) baseline survey within Moi University</t>
  </si>
  <si>
    <t>1.6.4</t>
  </si>
  <si>
    <t>Graduate tracer studies</t>
  </si>
  <si>
    <t>Collecting and analyzing data for technical reporting and M&amp;E on education and research</t>
  </si>
  <si>
    <t>1.7.1</t>
  </si>
  <si>
    <t>Course Evaluation and data analysis</t>
  </si>
  <si>
    <t>1.7.2</t>
  </si>
  <si>
    <t>Progress report writing</t>
  </si>
  <si>
    <t xml:space="preserve">Plan and hold ACE implementation meetings </t>
  </si>
  <si>
    <t>1.8.1</t>
  </si>
  <si>
    <t>ACE meetings</t>
  </si>
  <si>
    <t>ACE Operation Cost</t>
  </si>
  <si>
    <t>Cost for running ACE and other legible exercises not planned</t>
  </si>
  <si>
    <t xml:space="preserve">   TOTAL ACTIVITY 1</t>
  </si>
  <si>
    <t>Gender sensitization on postgraduate training in the areas of stem</t>
  </si>
  <si>
    <t>2.1.1</t>
  </si>
  <si>
    <t>Travel, accommodation, per diem for three facilitators holding two career /open days</t>
  </si>
  <si>
    <t>2.1.2</t>
  </si>
  <si>
    <t>Catering services, logistics, venues, stationery, etc., for holding career/open days and information campaigns</t>
  </si>
  <si>
    <t>Advertisment of activities</t>
  </si>
  <si>
    <t>2.2.1</t>
  </si>
  <si>
    <t>Advertisement of ACE postgraduate programs in print media (i.e., local newspapers, brochures,posters, etc.)</t>
  </si>
  <si>
    <t>MSc Fellowships</t>
  </si>
  <si>
    <t>2.3.1</t>
  </si>
  <si>
    <t xml:space="preserve">Lead partner support scholarships for  national MSc students </t>
  </si>
  <si>
    <t>2.3.2</t>
  </si>
  <si>
    <t xml:space="preserve">Lead partner support scholarships for  regional MSc students </t>
  </si>
  <si>
    <t>2.3.3</t>
  </si>
  <si>
    <t>National and Regional Partners support for MSc fellowships</t>
  </si>
  <si>
    <t>PhD Fellowships</t>
  </si>
  <si>
    <t>2.4.1</t>
  </si>
  <si>
    <t xml:space="preserve">Lead partner support scholarships for  national PhD students </t>
  </si>
  <si>
    <t>2.4.2</t>
  </si>
  <si>
    <t>Lead partner support scholarships for regional PhD students</t>
  </si>
  <si>
    <t>2.4.3</t>
  </si>
  <si>
    <t>Support of partners towards PhD fellowships</t>
  </si>
  <si>
    <t>ICT Upgrading: , E-platforms establishment</t>
  </si>
  <si>
    <t>2.5.1</t>
  </si>
  <si>
    <t>Installation of projectors in teaching rooms, Smart/Interactive white boards, &amp; development of a teleconferencing room</t>
  </si>
  <si>
    <t>2.5.2</t>
  </si>
  <si>
    <t>Development/Adoption of E-learning Platform</t>
  </si>
  <si>
    <t>2.5.3</t>
  </si>
  <si>
    <t>Provision of Internet connectivity (Accessories for linking to the university backbone)</t>
  </si>
  <si>
    <t>2.5.4</t>
  </si>
  <si>
    <t>Setting up a Local Area Network (LAN) in offices (2) and one ICT/Computer lab, &amp;Wi-Fi connectivity within the Center</t>
  </si>
  <si>
    <t>2.5.5</t>
  </si>
  <si>
    <t>Increase Internet Bandwidth (20 Mbps)</t>
  </si>
  <si>
    <t>2.5.6</t>
  </si>
  <si>
    <t>Purchase projectors, laptops, scanners,printers, &amp; photocopiers with scanning and network printing facility</t>
  </si>
  <si>
    <t>2.5.7</t>
  </si>
  <si>
    <t>Interactive Website for research dissemination</t>
  </si>
  <si>
    <t>2.5.8</t>
  </si>
  <si>
    <t>Training users on use of e-learning platform</t>
  </si>
  <si>
    <t>Re-tool faculty in areas relevant to the ACE curriculum delivery and supervision</t>
  </si>
  <si>
    <t>2.6.1</t>
  </si>
  <si>
    <t>Cost of material for training</t>
  </si>
  <si>
    <t>2.6.2</t>
  </si>
  <si>
    <t>Logistics, venue, catering services</t>
  </si>
  <si>
    <t>2.6.3</t>
  </si>
  <si>
    <t>Transport, accommodation &amp; per diem of training facilitators for 3 days</t>
  </si>
  <si>
    <t>2.6.4</t>
  </si>
  <si>
    <t>support partners to retool workshop</t>
  </si>
  <si>
    <t>Develop short courses curricullum</t>
  </si>
  <si>
    <t>2.7.1</t>
  </si>
  <si>
    <t>Material for  development of short courses</t>
  </si>
  <si>
    <t>2.7.2</t>
  </si>
  <si>
    <t>Travel, accommodation, per diem, catering services on development of at least two (2) short courses</t>
  </si>
  <si>
    <t xml:space="preserve"> Offer short courses and seminars</t>
  </si>
  <si>
    <t>2.9.1</t>
  </si>
  <si>
    <t>Material for  use during short courses offering</t>
  </si>
  <si>
    <t>2.9.2</t>
  </si>
  <si>
    <t>Institutional capcity development in governace,data system,leadership and monitoring and evaluation (leadership and Management workshop)</t>
  </si>
  <si>
    <t>2.11.1</t>
  </si>
  <si>
    <t>Catering services, logistics, venues, stationery, etc., for holding training</t>
  </si>
  <si>
    <t>2.11.2</t>
  </si>
  <si>
    <t>Travel, accommodation, per diem for five facilitators/ consultants holding 3 days training</t>
  </si>
  <si>
    <t>2.11.3</t>
  </si>
  <si>
    <t>2.11.4</t>
  </si>
  <si>
    <t>stationary</t>
  </si>
  <si>
    <t>TOTAL ACTIVITY 2</t>
  </si>
  <si>
    <t>Cultural Seminars and language training</t>
  </si>
  <si>
    <t>3.1.1</t>
  </si>
  <si>
    <t>Orientation /cultural seminars expense in terms of meals, transport, perdiem</t>
  </si>
  <si>
    <t>3.1.2</t>
  </si>
  <si>
    <t xml:space="preserve">Language training </t>
  </si>
  <si>
    <t>Visiting professors/external expertise</t>
  </si>
  <si>
    <t>3.5.1</t>
  </si>
  <si>
    <t xml:space="preserve">Support of professors/external expertise to PTRE  (Travelling cost and Perdiem)
</t>
  </si>
  <si>
    <t xml:space="preserve">3.6(b) </t>
  </si>
  <si>
    <t xml:space="preserve">Development of a new MSc program in phytochemistry </t>
  </si>
  <si>
    <t>3.6.1b</t>
  </si>
  <si>
    <t>Travel, accommodation, per diem, catering services on development of at least 1 curriculum</t>
  </si>
  <si>
    <t>3.6.2b</t>
  </si>
  <si>
    <t>Accreditation cost</t>
  </si>
  <si>
    <t xml:space="preserve"> Benchmarking with partnership of Applied Sciences,Engineering and Technology (PASET) and partners for peer review for accreditation</t>
  </si>
  <si>
    <t>3.7.1</t>
  </si>
  <si>
    <t xml:space="preserve">Bench-marking seminars /workshop for the relevant thematic areas  </t>
  </si>
  <si>
    <t>3.7.2</t>
  </si>
  <si>
    <t xml:space="preserve"> Peer review with partners for accreditation of programs offered at the center and for development of new programs</t>
  </si>
  <si>
    <t>3.7.3</t>
  </si>
  <si>
    <t>Cost of materials for benchmarking (stationary)</t>
  </si>
  <si>
    <t xml:space="preserve">                    TOTAL ACTIVITY 3</t>
  </si>
  <si>
    <t>Upgrade of of Textile labaratory and Phytochemical research labaratory ,renewable energy and generator back up</t>
  </si>
  <si>
    <t>4.1.1</t>
  </si>
  <si>
    <t>Dyeing machines</t>
  </si>
  <si>
    <t>4.1.2</t>
  </si>
  <si>
    <t xml:space="preserve">Textile HP-HT Kier boiler </t>
  </si>
  <si>
    <t>4.1.3</t>
  </si>
  <si>
    <t>IDRaman mini Handheld Raman Spectrometer</t>
  </si>
  <si>
    <t>4.1.4</t>
  </si>
  <si>
    <t>Desktop SEM (JEOL JCM-6000 Neoscope)</t>
  </si>
  <si>
    <t>4.1.5</t>
  </si>
  <si>
    <t>Electrical Muffle Furnace</t>
  </si>
  <si>
    <t>4.1.6</t>
  </si>
  <si>
    <t>Auto hot press machine (Hotonix STX20) –controlled pressure</t>
  </si>
  <si>
    <t>4.1.7</t>
  </si>
  <si>
    <t xml:space="preserve">Powdering/grinding machine </t>
  </si>
  <si>
    <t>4.1.8</t>
  </si>
  <si>
    <t>Forced Ventilation Oven</t>
  </si>
  <si>
    <t>4.1.9</t>
  </si>
  <si>
    <t>Absorbance tester –Lamotte</t>
  </si>
  <si>
    <t>4.1.10</t>
  </si>
  <si>
    <t>Electronic thermometer</t>
  </si>
  <si>
    <t>4.1.11</t>
  </si>
  <si>
    <t>Digital verniercaliper</t>
  </si>
  <si>
    <t>4.1.12</t>
  </si>
  <si>
    <t>Strain gauges</t>
  </si>
  <si>
    <t>4.1.13</t>
  </si>
  <si>
    <t>High pressure stainless steel boiler</t>
  </si>
  <si>
    <t>4.1.14</t>
  </si>
  <si>
    <t>Cutting machine –Octo Round Knife</t>
  </si>
  <si>
    <t>4.1.15</t>
  </si>
  <si>
    <t xml:space="preserve">Solar Module Quantum efficiency measurement system (with all accessories)
</t>
  </si>
  <si>
    <t>4.1.16</t>
  </si>
  <si>
    <r>
      <t xml:space="preserve">THERMO NICOLET NEXUS 870 </t>
    </r>
    <r>
      <rPr>
        <i/>
        <sz val="7"/>
        <rFont val="Times New Roman"/>
        <family val="1"/>
      </rPr>
      <t>FTIR</t>
    </r>
    <r>
      <rPr>
        <sz val="7"/>
        <rFont val="Times New Roman"/>
        <family val="1"/>
      </rPr>
      <t xml:space="preserve"> ESP FT-</t>
    </r>
    <r>
      <rPr>
        <i/>
        <sz val="7"/>
        <rFont val="Times New Roman"/>
        <family val="1"/>
      </rPr>
      <t>IR Spectrometer</t>
    </r>
  </si>
  <si>
    <t>4.1.17</t>
  </si>
  <si>
    <t>Shimadzu LC-2010 CHT HPLC</t>
  </si>
  <si>
    <t>4.1.18</t>
  </si>
  <si>
    <t>Heidolph™ Hei-Vap™ Rotary Evaporator</t>
  </si>
  <si>
    <t>4.1.19</t>
  </si>
  <si>
    <t>compound microscope with CAMERA</t>
  </si>
  <si>
    <t>4.1.20</t>
  </si>
  <si>
    <t>Flash point module</t>
  </si>
  <si>
    <t>4.1.21</t>
  </si>
  <si>
    <t>PECVD split tube furnace systems</t>
  </si>
  <si>
    <t>4.1.22</t>
  </si>
  <si>
    <t xml:space="preserve">2000 PV Modules </t>
  </si>
  <si>
    <t>4.1.23</t>
  </si>
  <si>
    <t>Diesel / LPG burner system</t>
  </si>
  <si>
    <t>4.1.24</t>
  </si>
  <si>
    <t>PV Array Combiner Boxes</t>
  </si>
  <si>
    <t>4.1.25</t>
  </si>
  <si>
    <t>Fuses and Breakers </t>
  </si>
  <si>
    <t>4.1.26</t>
  </si>
  <si>
    <t>Automatic biodiesel oil oxidation stability analyzer, oil laboratory testing equipment.</t>
  </si>
  <si>
    <t>4.1.27</t>
  </si>
  <si>
    <t>Support of partners to upgrade laboratories</t>
  </si>
  <si>
    <t xml:space="preserve"> Laboratory equipment installation, commissioning and training</t>
  </si>
  <si>
    <t>4.2.1</t>
  </si>
  <si>
    <t xml:space="preserve">Installation of laboratory equipment </t>
  </si>
  <si>
    <t>4.2.2</t>
  </si>
  <si>
    <t>Commissioning of laboratory equipment</t>
  </si>
  <si>
    <t>4,2,3</t>
  </si>
  <si>
    <t>Training of Technicians on use of new equipment’s</t>
  </si>
  <si>
    <t>Purchase of labaratory  consumables and softwares</t>
  </si>
  <si>
    <t>4.4.1</t>
  </si>
  <si>
    <t>Laboratory consumables (textile materials, chemicals reagents, safety clothing, glassware)</t>
  </si>
  <si>
    <t>4.4.2</t>
  </si>
  <si>
    <t>VASP code</t>
  </si>
  <si>
    <t>4.4.3</t>
  </si>
  <si>
    <t>Atomistic Tool Kit-Virtual Nano Lab licence</t>
  </si>
  <si>
    <t>Establish new partnerships (MOUs) and strengthen existing ones in the area of teaching &amp; research</t>
  </si>
  <si>
    <t>4.7.1</t>
  </si>
  <si>
    <t>Support of faculty and ACE team to establish Memorundum of Understandings with partners (Travelling cost and Perdiem)</t>
  </si>
  <si>
    <t>4.8.1</t>
  </si>
  <si>
    <t>Support of staff mobility to public and private sector institutions of higher learning and industry (Travelling cost and Perdiem)</t>
  </si>
  <si>
    <t>4.8.2</t>
  </si>
  <si>
    <t>Support partners to mentorship logistics/mobility (Travelling, Perdiem, communication, stationeries, venues, consultancy cost, training cost)</t>
  </si>
  <si>
    <t>Support faulty to submit Grant proposals</t>
  </si>
  <si>
    <t>4.9.1</t>
  </si>
  <si>
    <t>Grant application logistics (Travel, Perdiem, communication, stationeries, venues, consultancy cost)</t>
  </si>
  <si>
    <t>Faculty/Students  collaborative research</t>
  </si>
  <si>
    <t>4.11.1</t>
  </si>
  <si>
    <t>Research activities logistics (Travel, Perdiem, communication, stationeries, venues, consultancy cost, materials, insurance )</t>
  </si>
  <si>
    <t>4.11.2</t>
  </si>
  <si>
    <t>Support partners students in research</t>
  </si>
  <si>
    <t>Participation in  external seminar workshop, conference and short courses</t>
  </si>
  <si>
    <t>4.12.1</t>
  </si>
  <si>
    <t>Professional skills training and conference attendance  logistics (Travel, Perdiem, communication, stationeries,  publication, visas, insurance )</t>
  </si>
  <si>
    <t>4.12.2</t>
  </si>
  <si>
    <t>support partners to  seminar workshop, conference and short courses</t>
  </si>
  <si>
    <t>Maintain ,insurance  and service research vehicles (4X4 vehicles,Minibus)</t>
  </si>
  <si>
    <t>4.14.1</t>
  </si>
  <si>
    <t>Vehicle Insurance –Mini bus</t>
  </si>
  <si>
    <t>4.14.2</t>
  </si>
  <si>
    <t>Vehicle service and maintenance – Mini bus</t>
  </si>
  <si>
    <t>4.14.3</t>
  </si>
  <si>
    <t>Vehicle Insurance – 4x4 extended land cruiser</t>
  </si>
  <si>
    <t>4.14.4</t>
  </si>
  <si>
    <t>Vehicle service and maintenance – 4x4 land cruiser</t>
  </si>
  <si>
    <t>4.14.5</t>
  </si>
  <si>
    <t>Local and regional travel (Fuel and Perdiem)</t>
  </si>
  <si>
    <t>Procurement of  4X4 extended land cruiser vehicle for ACE centre field activities and meetings</t>
  </si>
  <si>
    <t>4.16.1</t>
  </si>
  <si>
    <t>Purchase of one 4x4  extended double cabin pick-up</t>
  </si>
  <si>
    <t xml:space="preserve"> Trainings, benchmarks and exchange for Center accountant, procurment, administrator, social and environmentl safeguard officer and support staff working under ACE</t>
  </si>
  <si>
    <t>4.18.1</t>
  </si>
  <si>
    <t>Support for training i.e fees for course, perdiem, transport, air ticket)</t>
  </si>
  <si>
    <t>TOTAL ACTIVITY 4</t>
  </si>
  <si>
    <t>Observation of best practices in ACE financial operation</t>
  </si>
  <si>
    <t>6.1.0</t>
  </si>
  <si>
    <t>Financial reporting</t>
  </si>
  <si>
    <t>6.2.0</t>
  </si>
  <si>
    <t>Financial audit</t>
  </si>
  <si>
    <t>6.3.0</t>
  </si>
  <si>
    <t>Transparent financial management enhancement</t>
  </si>
  <si>
    <t>6.4.0</t>
  </si>
  <si>
    <t>Students sponsors refunds processing</t>
  </si>
  <si>
    <t>TOTAL ACTIVITY 6</t>
  </si>
  <si>
    <t>Observation of best practices in ACE procurement operation</t>
  </si>
  <si>
    <t>7.1.0</t>
  </si>
  <si>
    <t>Procurement audit</t>
  </si>
  <si>
    <t>7.2.0</t>
  </si>
  <si>
    <t>Ensuring transparent procurement process</t>
  </si>
  <si>
    <t>TOTAL ACTIVITY 7</t>
  </si>
  <si>
    <t>GRAND TOTAL</t>
  </si>
  <si>
    <t>1% CONTINGENCY</t>
  </si>
  <si>
    <t>Verified by: Project Accountant………………………K CHIRCHIR………………………………………………….</t>
  </si>
  <si>
    <t xml:space="preserve"> Approved by: Centre Leader ACE II PTRE………………………………………………………</t>
  </si>
  <si>
    <t>Date:………………………</t>
  </si>
  <si>
    <t xml:space="preserve"> Approved by: VICE CHANCELLOR…………………………………………………………………</t>
  </si>
  <si>
    <t xml:space="preserve"> TOTAL ALL ACTIVITIES</t>
  </si>
  <si>
    <t>ds</t>
  </si>
  <si>
    <t>% usage</t>
  </si>
  <si>
    <t>Semi-Annual Period ending…DEC 17</t>
  </si>
  <si>
    <t>for the semi-annual period ending December 2017</t>
  </si>
  <si>
    <t>for the semi-annual period ending……December 2017</t>
  </si>
  <si>
    <t>COMMITTED</t>
  </si>
  <si>
    <t>1.0 Set-up institutional framework for commencement of the ACE</t>
  </si>
  <si>
    <t>2.0. Strengthen education capacity excellence - quality and productivity</t>
  </si>
  <si>
    <t>2.2 Advertisment of activities</t>
  </si>
  <si>
    <t>3.0 Education Capacity &amp; Development Impact</t>
  </si>
  <si>
    <t>4.0 Strengthen Research Capacity excellence – quality and productivity</t>
  </si>
  <si>
    <t>5.0 Strengthen education and research capacity (through increased financial sustainability) and demonstration of value to students and partners</t>
  </si>
  <si>
    <t>6.0 Observation of best practices in ACE financial operation</t>
  </si>
  <si>
    <t>7.0 Observation of best practices in ACE procurement operation</t>
  </si>
  <si>
    <t>AMOUNT ALLOCATED(USD)</t>
  </si>
  <si>
    <t>AMOUNT DISBURSED(USD)</t>
  </si>
  <si>
    <t>UNDISBURSED BALANCE (USD)</t>
  </si>
  <si>
    <t>DLI1: Institutional Readiness</t>
  </si>
  <si>
    <t>DLR#1.1:  To meet Conditions for effectiveness Creation of ACE designated account.                Approved Financial Management and procurement procedures and Environmental and social management palns capacity.</t>
  </si>
  <si>
    <t xml:space="preserve">completed </t>
  </si>
  <si>
    <t>Nil</t>
  </si>
  <si>
    <t>DLR#1.2:   Development of detailed implmentation plans.  Signing of funding and performance contract between the University and the Governfment.</t>
  </si>
  <si>
    <t xml:space="preserve">DLR# 2.1: Timely annual implementation of the plans </t>
  </si>
  <si>
    <t>Ongoing</t>
  </si>
  <si>
    <t>Excellence in education and research capacity and development impact</t>
  </si>
  <si>
    <t>At least 70% of the annual activities achieved</t>
  </si>
  <si>
    <t>DLR #2.2: Newly enrolled students in the ACE of which at least 20% must be regional (African) students.</t>
  </si>
  <si>
    <t>DLR#2.3: Accreditation of quality of education programs</t>
  </si>
  <si>
    <t>3 programmes accreditted by CUE</t>
  </si>
  <si>
    <t>DLR#2.4: Collaboration and partnerships for applied research and training. Signing of the partnership MOUs for at least a period of two years</t>
  </si>
  <si>
    <t>DLR#2.5: Peer-reviewed journal papers or peer-reviewed conference papers prepared collaboratively with regionally or international partners</t>
  </si>
  <si>
    <t>DLR#2.6: Faculty and PhD student exchanges to promote regional research and teaching</t>
  </si>
  <si>
    <t>Faculty exchange in Gezira University</t>
  </si>
  <si>
    <t>DLR#2.7: External revenue generation</t>
  </si>
  <si>
    <t>Students application fee</t>
  </si>
  <si>
    <t>DLR#2.8: Institution participating in benchmarking exercise</t>
  </si>
  <si>
    <t>DLR#3.1: Timely Withdrawal Application supported by financial reporting on the ACE account for the period</t>
  </si>
  <si>
    <t>Not yet</t>
  </si>
  <si>
    <t xml:space="preserve"> Timely, transparent and institutionally reviewed Financial Management</t>
  </si>
  <si>
    <t>DLR#3.2: Functioning Audit Committee under the university council</t>
  </si>
  <si>
    <t>In Place</t>
  </si>
  <si>
    <t>DLR#3.3: Functioning internal audit unit for the university.  Internal audit unit in place</t>
  </si>
  <si>
    <t>DLR#3.4: Transparency of financial management (audit reports, interim financial reports, budgets and annual work plan are all web accessible)</t>
  </si>
  <si>
    <t>Procurement Plan accessible in the University Website                     Ongoing</t>
  </si>
  <si>
    <t>DLR# 4.1 Timely procurement audit report</t>
  </si>
  <si>
    <t>Timely and audited procurement</t>
  </si>
  <si>
    <t>Timely submission of procurement audit report</t>
  </si>
  <si>
    <t>DLR#4.2: Timely and satisfactory procurement progress report</t>
  </si>
  <si>
    <t>Timely submission of procurement progress report</t>
  </si>
  <si>
    <t>$</t>
  </si>
  <si>
    <t>1.2.1 Drafting financial and procurement plans</t>
  </si>
  <si>
    <t>1.2.2 Drafting all standard operating procedures</t>
  </si>
  <si>
    <t>1.3.1Project inception workshop and official launch</t>
  </si>
  <si>
    <t>1.3.2Partners support to inception workshop</t>
  </si>
  <si>
    <t>1.4 Stakeholders workshop (community sensitization on project)</t>
  </si>
  <si>
    <t>1.5.1 Refurbishing centre buildings</t>
  </si>
  <si>
    <t>1.5.2 Purchasing centre’s facilities and High performance   Desktop PC (Apple iMac)</t>
  </si>
  <si>
    <t>1.6.3 Needs assessment for short courses, MSc course development in phytochemistry and one (1) baseline survey within Moi University</t>
  </si>
  <si>
    <t>1.6.4 Graduate tracer studies</t>
  </si>
  <si>
    <t>1.72 Progress report writing</t>
  </si>
  <si>
    <t xml:space="preserve"> 1.8.1 ACE meetings</t>
  </si>
  <si>
    <t xml:space="preserve"> 1.10 Cost for running ACE and other legible exercises not planned</t>
  </si>
  <si>
    <t xml:space="preserve">2.3.1 Lead partner support scholarships for  national MSc students </t>
  </si>
  <si>
    <t xml:space="preserve">2.3.2 Lead partner support scholarships for  regional MSc students </t>
  </si>
  <si>
    <t>2.3.3 National and Regional Partners support for MSc fellowships</t>
  </si>
  <si>
    <t xml:space="preserve">2.4.1 Lead partner support scholarships for  national PhD students </t>
  </si>
  <si>
    <t>2.4.2 Lead partner support scholarships for regional PhD students</t>
  </si>
  <si>
    <t xml:space="preserve">2.4.3 Support of partners towards PhD fellowships </t>
  </si>
  <si>
    <t>2.6.1 Cost of material for training</t>
  </si>
  <si>
    <t>2.62 Logistics, venue, catering services</t>
  </si>
  <si>
    <t>2.63 Transport, accommodation &amp; per diem of training facilitators for 3 days</t>
  </si>
  <si>
    <t>2.6.4 support partners to retool workshop</t>
  </si>
  <si>
    <t xml:space="preserve"> 2.7.2  Travel, accommodation, per diem, catering services on development of at least two (2) short courses</t>
  </si>
  <si>
    <t>2.9.1 Material for  use during short courses offering</t>
  </si>
  <si>
    <t>2.9.2 Travel, accommodation, per diem, catering services on development of at least two (2) short courses</t>
  </si>
  <si>
    <t>2.11.1 Catering services, logistics, venues, stationery, etc., for holding trainin</t>
  </si>
  <si>
    <t>2.11.2 Travel, accommodation, per diem for five facilitators/ consultants holding 3 days training</t>
  </si>
  <si>
    <t>2.11.3 support partners to leadership and management workshop</t>
  </si>
  <si>
    <t>2.11.4  stationary</t>
  </si>
  <si>
    <t>3.1.1 Orientation /cultural seminars expense in terms of meals, transport, perdiem</t>
  </si>
  <si>
    <t xml:space="preserve">3.5.1 Support of professors/external expertise to PTRE  (Travelling cost and Perdiem)
</t>
  </si>
  <si>
    <t>3.6.1 Travel, accommodation, per diem, catering services on development of at least 1 curriculum</t>
  </si>
  <si>
    <t>4.1 Upgrade of of Textile labaratory and Phytochemical research labaratory ,renewable energy and generator back up</t>
  </si>
  <si>
    <t>4.4.1 Laboratory consumables (textile materials, chemicals reagents, safety clothing, glassware)</t>
  </si>
  <si>
    <t>4.7.1 .Support of faculty and ACE team to establish Memorundum of Understandings with partners (Travelling cost and Perdiem)</t>
  </si>
  <si>
    <t>4.8.1  Support of staff mobility to public and private sector institutions of higher learning and industry (Travelling cost and Perdiem)</t>
  </si>
  <si>
    <t>4.9.1 Grant application logistics (Travel, Perdiem, communication, stationeries, venues, consultancy cost)</t>
  </si>
  <si>
    <t>4.12.1 Professional skills training and conference attendance  logistics (Travel, Perdiem, communication, stationeries,  publication, visas, insurance )</t>
  </si>
  <si>
    <t>4.12.2 Support partners to  seminar workshop, conference and short courses</t>
  </si>
  <si>
    <t>4.14.3 Vehicle Insurance – 4x4 extended land cruiser</t>
  </si>
  <si>
    <t>4.14.4 Vehicle service and maintenance – 4x4 land cruiser</t>
  </si>
  <si>
    <t>4.14.5 Local and regional travel (Fuel and Perdiem)</t>
  </si>
  <si>
    <t>4.16.1 Purchase of one 4x4  extended double cabin pick-up</t>
  </si>
  <si>
    <t>4.18.1 Support for training i.e fees for course, perdiem, transport, air ticket)</t>
  </si>
  <si>
    <t>Faculty /PhD student  Mentorship on specialised skills (internships,mobility)</t>
  </si>
  <si>
    <t xml:space="preserve"> BUDGET FOR 1ST &amp;  2ND QUARTER; JULY- DEC 2017</t>
  </si>
  <si>
    <t>PAYMENTS JULY-DEC 17</t>
  </si>
  <si>
    <t>Semi-Annual Period ending…Dec 2017…</t>
  </si>
  <si>
    <t>1 MOU developed and signed with a private partner NORCART International</t>
  </si>
  <si>
    <r>
      <rPr>
        <sz val="10"/>
        <color indexed="10"/>
        <rFont val="Times New Roman"/>
        <family val="1"/>
      </rPr>
      <t>1</t>
    </r>
    <r>
      <rPr>
        <sz val="10"/>
        <rFont val="Times New Roman"/>
        <family val="1"/>
      </rPr>
      <t xml:space="preserve"> conference paper published with a regional partner </t>
    </r>
  </si>
  <si>
    <t>29 students enrolled under ACE II PTRE</t>
  </si>
  <si>
    <t>……………………………………………………………………………………………………………………..</t>
  </si>
  <si>
    <t>EEP 1: Salaries</t>
  </si>
  <si>
    <t>Kshs</t>
  </si>
  <si>
    <t>Cummulative for Financial Year End</t>
  </si>
  <si>
    <t xml:space="preserve">Actual </t>
  </si>
  <si>
    <t>Semi-Annual Period ending December 2017</t>
  </si>
  <si>
    <t>PAID         - Kshs</t>
  </si>
  <si>
    <t>under / (over) spend    kshs</t>
  </si>
  <si>
    <r>
      <t>TOTAL</t>
    </r>
    <r>
      <rPr>
        <b/>
        <i/>
        <sz val="8"/>
        <rFont val="Times New Roman"/>
        <family val="1"/>
      </rPr>
      <t xml:space="preserve"> Kshs</t>
    </r>
  </si>
  <si>
    <t>`</t>
  </si>
  <si>
    <t xml:space="preserve">Planned </t>
  </si>
  <si>
    <t xml:space="preserve">Variance </t>
  </si>
  <si>
    <t>AFRICA HIGHER EDUCATION CENTERS OF EXCELLENCE PROJECT (151847)</t>
  </si>
  <si>
    <t>MOI UNIVERSITY AFRICA HIGHER EDUCATION CENTERS OF EXCELLENCE PROJECT (151847)</t>
  </si>
  <si>
    <t>USD</t>
  </si>
  <si>
    <t>Semi-Annual Period ending…DEC 17…</t>
  </si>
  <si>
    <t>2.5 ICT Upgrading: , E-platforms establishment</t>
  </si>
  <si>
    <t>NOTE: CURRENCY CONVERSION RATE USED IS 1USD = KSH. 103.25</t>
  </si>
  <si>
    <t>2.11.1 Catering services, logistics, venues, stationery, etc., for holding training</t>
  </si>
  <si>
    <t xml:space="preserve"> </t>
  </si>
  <si>
    <t>Delay in procurement; works started in the third quarter</t>
  </si>
  <si>
    <t>Third quarter budget utulised</t>
  </si>
  <si>
    <t>Activity brought forward</t>
  </si>
  <si>
    <t>Activity  pushed forward to 3rd &amp; 4th quarter</t>
  </si>
  <si>
    <t>Procurement challenges, works stared in 3rd quarter</t>
  </si>
  <si>
    <t>Task partly complete,</t>
  </si>
  <si>
    <t>vehicle received at end of 2nd quarter</t>
  </si>
  <si>
    <t xml:space="preserve">  3.5    Visiting professors/external expertise</t>
  </si>
  <si>
    <t>Prepared by  Kirwa Chirchir</t>
  </si>
  <si>
    <t>Center Leader</t>
  </si>
  <si>
    <t>Deputy CL</t>
  </si>
  <si>
    <t>Accountant</t>
  </si>
  <si>
    <t>partlly done, High performance PC and other items in procurement  process</t>
  </si>
  <si>
    <t>Approved by Prof Ambrose Kiprop</t>
  </si>
  <si>
    <t>Checked by Dr Rose Ramkat</t>
  </si>
  <si>
    <t xml:space="preserve"> 1.5 Refurbish Centre Office Building</t>
  </si>
  <si>
    <t>1.6 Conduct seminars for self evaluation of project progress and industrial linkage committee meeting</t>
  </si>
  <si>
    <t>2.4 PhD Fellowships</t>
  </si>
  <si>
    <t>2.6 Re-tool faculty in areas relevant to the ACE curriculum delivery and supervision</t>
  </si>
  <si>
    <t>2.11 Institutional capcity development in governace,data system,leadership and monitoring and evaluation (leadership and Management workshop)</t>
  </si>
  <si>
    <t xml:space="preserve"> 2.9 Offer short courses and seminars</t>
  </si>
  <si>
    <t>Deputy Center Leader</t>
  </si>
  <si>
    <t>Activity brought forward from third quarter</t>
  </si>
  <si>
    <t>Delay in Accreditation of programs by UIC led to delay in recruiting of students, activity to be undertaken in 3rd &amp; 4th quarter</t>
  </si>
  <si>
    <t>Activity postponed  funds to be utulised in 3rd &amp; 4th quarter</t>
  </si>
  <si>
    <t>vehicle insurance to be paid in 3rd quarter</t>
  </si>
  <si>
    <t>vehicle received at end of 2nd quarter, funds to be utulised in subsequenr period</t>
  </si>
  <si>
    <t>reasonable variance, purchase price negotiated downwards</t>
  </si>
  <si>
    <t>Delay due to industrial action by lectuers, pushed to last 2 quarters.</t>
  </si>
  <si>
    <t>Task partly complete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</si>
</sst>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_(* #,##0_);_(* \(#,##0\);_(* &quot;-&quot;??_);_(@_)"/>
    <numFmt numFmtId="166" formatCode="0.0"/>
    <numFmt numFmtId="167" formatCode="_(* #,##0.0_);_(* \(#,##0.0\);_(* &quot;-&quot;??_);_(@_)"/>
    <numFmt numFmtId="168" formatCode="mmm\-yyyy"/>
    <numFmt numFmtId="169" formatCode="[$-409]dddd\,\ mmmm\ dd\,\ yyyy"/>
    <numFmt numFmtId="170" formatCode="mm/dd/yy;@"/>
    <numFmt numFmtId="171" formatCode="0.0%"/>
    <numFmt numFmtId="172" formatCode="00000"/>
    <numFmt numFmtId="173" formatCode="0.0000"/>
    <numFmt numFmtId="174" formatCode="0.000"/>
    <numFmt numFmtId="175" formatCode="&quot;$&quot;#,##0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sz val="6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i/>
      <sz val="8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omes"/>
      <family val="0"/>
    </font>
    <font>
      <sz val="11"/>
      <name val="Tiomes"/>
      <family val="0"/>
    </font>
    <font>
      <u val="single"/>
      <sz val="11"/>
      <name val="Tiomes"/>
      <family val="0"/>
    </font>
    <font>
      <b/>
      <sz val="12"/>
      <name val="Times New Roman"/>
      <family val="1"/>
    </font>
    <font>
      <u val="single"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Liberation Serif"/>
      <family val="0"/>
    </font>
    <font>
      <b/>
      <sz val="7"/>
      <color indexed="8"/>
      <name val="Liberation Serif"/>
      <family val="0"/>
    </font>
    <font>
      <sz val="11"/>
      <name val="Calibri"/>
      <family val="2"/>
    </font>
    <font>
      <sz val="10"/>
      <color indexed="8"/>
      <name val="Times New Roman"/>
      <family val="1"/>
    </font>
    <font>
      <b/>
      <i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indexed="53"/>
      <name val="Tiomes"/>
      <family val="0"/>
    </font>
    <font>
      <sz val="11"/>
      <color indexed="53"/>
      <name val="Times New Roman"/>
      <family val="1"/>
    </font>
    <font>
      <b/>
      <i/>
      <sz val="11"/>
      <color indexed="53"/>
      <name val="Times New Roman"/>
      <family val="1"/>
    </font>
    <font>
      <i/>
      <sz val="11"/>
      <color indexed="53"/>
      <name val="Times New Roman"/>
      <family val="1"/>
    </font>
    <font>
      <b/>
      <sz val="11"/>
      <color indexed="53"/>
      <name val="Times New Roman"/>
      <family val="1"/>
    </font>
    <font>
      <b/>
      <i/>
      <sz val="11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Liberation Serif"/>
      <family val="0"/>
    </font>
    <font>
      <b/>
      <sz val="7"/>
      <color theme="1"/>
      <name val="Liberation Serif"/>
      <family val="0"/>
    </font>
    <font>
      <sz val="10"/>
      <color rgb="FF000000"/>
      <name val="Times New Roman"/>
      <family val="1"/>
    </font>
    <font>
      <b/>
      <i/>
      <sz val="10"/>
      <color theme="9"/>
      <name val="Arial"/>
      <family val="2"/>
    </font>
    <font>
      <sz val="10"/>
      <color theme="9"/>
      <name val="Arial"/>
      <family val="2"/>
    </font>
    <font>
      <sz val="11"/>
      <color theme="9"/>
      <name val="Tiomes"/>
      <family val="0"/>
    </font>
    <font>
      <sz val="11"/>
      <color theme="9"/>
      <name val="Times New Roman"/>
      <family val="1"/>
    </font>
    <font>
      <b/>
      <i/>
      <sz val="11"/>
      <color theme="9"/>
      <name val="Times New Roman"/>
      <family val="1"/>
    </font>
    <font>
      <i/>
      <sz val="11"/>
      <color theme="9"/>
      <name val="Times New Roman"/>
      <family val="1"/>
    </font>
    <font>
      <b/>
      <sz val="11"/>
      <color theme="9"/>
      <name val="Times New Roman"/>
      <family val="1"/>
    </font>
    <font>
      <b/>
      <i/>
      <sz val="11"/>
      <color theme="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/>
      <top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6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4" borderId="12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1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/>
    </xf>
    <xf numFmtId="43" fontId="0" fillId="0" borderId="12" xfId="42" applyFont="1" applyBorder="1" applyAlignment="1">
      <alignment/>
    </xf>
    <xf numFmtId="43" fontId="0" fillId="0" borderId="22" xfId="42" applyFont="1" applyBorder="1" applyAlignment="1">
      <alignment/>
    </xf>
    <xf numFmtId="43" fontId="0" fillId="0" borderId="17" xfId="0" applyNumberFormat="1" applyBorder="1" applyAlignment="1">
      <alignment horizontal="right"/>
    </xf>
    <xf numFmtId="43" fontId="0" fillId="0" borderId="17" xfId="42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0" fontId="12" fillId="0" borderId="23" xfId="0" applyFont="1" applyBorder="1" applyAlignment="1">
      <alignment horizontal="center"/>
    </xf>
    <xf numFmtId="0" fontId="0" fillId="0" borderId="0" xfId="0" applyAlignment="1">
      <alignment/>
    </xf>
    <xf numFmtId="0" fontId="13" fillId="0" borderId="24" xfId="0" applyFont="1" applyBorder="1" applyAlignment="1">
      <alignment horizontal="center"/>
    </xf>
    <xf numFmtId="0" fontId="13" fillId="0" borderId="22" xfId="0" applyFont="1" applyBorder="1" applyAlignment="1">
      <alignment/>
    </xf>
    <xf numFmtId="0" fontId="13" fillId="35" borderId="25" xfId="0" applyFont="1" applyFill="1" applyBorder="1" applyAlignment="1">
      <alignment horizontal="center"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35" borderId="22" xfId="0" applyFont="1" applyFill="1" applyBorder="1" applyAlignment="1">
      <alignment horizontal="center" wrapText="1"/>
    </xf>
    <xf numFmtId="0" fontId="13" fillId="35" borderId="27" xfId="0" applyFont="1" applyFill="1" applyBorder="1" applyAlignment="1">
      <alignment/>
    </xf>
    <xf numFmtId="0" fontId="13" fillId="0" borderId="20" xfId="0" applyFont="1" applyBorder="1" applyAlignment="1">
      <alignment/>
    </xf>
    <xf numFmtId="0" fontId="13" fillId="0" borderId="0" xfId="0" applyFont="1" applyBorder="1" applyAlignment="1">
      <alignment/>
    </xf>
    <xf numFmtId="0" fontId="13" fillId="35" borderId="14" xfId="0" applyFont="1" applyFill="1" applyBorder="1" applyAlignment="1">
      <alignment/>
    </xf>
    <xf numFmtId="0" fontId="13" fillId="35" borderId="13" xfId="0" applyFont="1" applyFill="1" applyBorder="1" applyAlignment="1">
      <alignment/>
    </xf>
    <xf numFmtId="0" fontId="13" fillId="0" borderId="28" xfId="0" applyFont="1" applyBorder="1" applyAlignment="1">
      <alignment vertical="center"/>
    </xf>
    <xf numFmtId="0" fontId="0" fillId="0" borderId="0" xfId="0" applyBorder="1" applyAlignment="1">
      <alignment wrapText="1"/>
    </xf>
    <xf numFmtId="166" fontId="13" fillId="36" borderId="29" xfId="0" applyNumberFormat="1" applyFont="1" applyFill="1" applyBorder="1" applyAlignment="1">
      <alignment horizontal="center"/>
    </xf>
    <xf numFmtId="0" fontId="13" fillId="36" borderId="30" xfId="0" applyFont="1" applyFill="1" applyBorder="1" applyAlignment="1">
      <alignment horizontal="left" wrapText="1"/>
    </xf>
    <xf numFmtId="0" fontId="13" fillId="36" borderId="25" xfId="0" applyFont="1" applyFill="1" applyBorder="1" applyAlignment="1">
      <alignment horizontal="left" wrapText="1"/>
    </xf>
    <xf numFmtId="0" fontId="13" fillId="35" borderId="31" xfId="0" applyFont="1" applyFill="1" applyBorder="1" applyAlignment="1">
      <alignment wrapText="1"/>
    </xf>
    <xf numFmtId="0" fontId="13" fillId="36" borderId="31" xfId="0" applyFont="1" applyFill="1" applyBorder="1" applyAlignment="1">
      <alignment wrapText="1"/>
    </xf>
    <xf numFmtId="0" fontId="13" fillId="36" borderId="30" xfId="0" applyFont="1" applyFill="1" applyBorder="1" applyAlignment="1">
      <alignment wrapText="1"/>
    </xf>
    <xf numFmtId="0" fontId="13" fillId="36" borderId="25" xfId="0" applyFont="1" applyFill="1" applyBorder="1" applyAlignment="1">
      <alignment wrapText="1"/>
    </xf>
    <xf numFmtId="166" fontId="14" fillId="0" borderId="32" xfId="0" applyNumberFormat="1" applyFont="1" applyBorder="1" applyAlignment="1">
      <alignment/>
    </xf>
    <xf numFmtId="0" fontId="14" fillId="0" borderId="0" xfId="0" applyFont="1" applyBorder="1" applyAlignment="1">
      <alignment/>
    </xf>
    <xf numFmtId="165" fontId="14" fillId="35" borderId="33" xfId="44" applyNumberFormat="1" applyFont="1" applyFill="1" applyBorder="1" applyAlignment="1">
      <alignment/>
    </xf>
    <xf numFmtId="165" fontId="14" fillId="35" borderId="33" xfId="42" applyNumberFormat="1" applyFont="1" applyFill="1" applyBorder="1" applyAlignment="1">
      <alignment horizontal="center"/>
    </xf>
    <xf numFmtId="0" fontId="14" fillId="35" borderId="33" xfId="0" applyNumberFormat="1" applyFont="1" applyFill="1" applyBorder="1" applyAlignment="1">
      <alignment horizontal="center"/>
    </xf>
    <xf numFmtId="165" fontId="14" fillId="0" borderId="34" xfId="0" applyNumberFormat="1" applyFont="1" applyBorder="1" applyAlignment="1">
      <alignment/>
    </xf>
    <xf numFmtId="0" fontId="14" fillId="0" borderId="33" xfId="0" applyNumberFormat="1" applyFont="1" applyBorder="1" applyAlignment="1">
      <alignment/>
    </xf>
    <xf numFmtId="166" fontId="14" fillId="0" borderId="35" xfId="0" applyNumberFormat="1" applyFont="1" applyBorder="1" applyAlignment="1">
      <alignment/>
    </xf>
    <xf numFmtId="165" fontId="14" fillId="35" borderId="36" xfId="44" applyNumberFormat="1" applyFont="1" applyFill="1" applyBorder="1" applyAlignment="1">
      <alignment/>
    </xf>
    <xf numFmtId="165" fontId="14" fillId="35" borderId="36" xfId="42" applyNumberFormat="1" applyFont="1" applyFill="1" applyBorder="1" applyAlignment="1">
      <alignment horizontal="center"/>
    </xf>
    <xf numFmtId="0" fontId="14" fillId="35" borderId="36" xfId="0" applyNumberFormat="1" applyFont="1" applyFill="1" applyBorder="1" applyAlignment="1">
      <alignment horizontal="center"/>
    </xf>
    <xf numFmtId="166" fontId="14" fillId="0" borderId="37" xfId="0" applyNumberFormat="1" applyFont="1" applyBorder="1" applyAlignment="1">
      <alignment/>
    </xf>
    <xf numFmtId="165" fontId="13" fillId="35" borderId="17" xfId="44" applyNumberFormat="1" applyFont="1" applyFill="1" applyBorder="1" applyAlignment="1">
      <alignment/>
    </xf>
    <xf numFmtId="165" fontId="13" fillId="35" borderId="17" xfId="61" applyNumberFormat="1" applyFont="1" applyFill="1" applyBorder="1" applyAlignment="1">
      <alignment horizontal="center"/>
    </xf>
    <xf numFmtId="165" fontId="13" fillId="0" borderId="38" xfId="0" applyNumberFormat="1" applyFont="1" applyBorder="1" applyAlignment="1">
      <alignment/>
    </xf>
    <xf numFmtId="166" fontId="13" fillId="7" borderId="39" xfId="0" applyNumberFormat="1" applyFont="1" applyFill="1" applyBorder="1" applyAlignment="1">
      <alignment/>
    </xf>
    <xf numFmtId="0" fontId="13" fillId="7" borderId="40" xfId="0" applyFont="1" applyFill="1" applyBorder="1" applyAlignment="1">
      <alignment/>
    </xf>
    <xf numFmtId="0" fontId="13" fillId="35" borderId="40" xfId="0" applyFont="1" applyFill="1" applyBorder="1" applyAlignment="1">
      <alignment/>
    </xf>
    <xf numFmtId="0" fontId="13" fillId="7" borderId="41" xfId="0" applyFont="1" applyFill="1" applyBorder="1" applyAlignment="1">
      <alignment/>
    </xf>
    <xf numFmtId="166" fontId="14" fillId="0" borderId="42" xfId="0" applyNumberFormat="1" applyFont="1" applyBorder="1" applyAlignment="1">
      <alignment/>
    </xf>
    <xf numFmtId="165" fontId="14" fillId="0" borderId="43" xfId="44" applyNumberFormat="1" applyFont="1" applyFill="1" applyBorder="1" applyAlignment="1">
      <alignment/>
    </xf>
    <xf numFmtId="165" fontId="14" fillId="35" borderId="43" xfId="42" applyNumberFormat="1" applyFont="1" applyFill="1" applyBorder="1" applyAlignment="1">
      <alignment horizontal="center"/>
    </xf>
    <xf numFmtId="0" fontId="14" fillId="35" borderId="43" xfId="0" applyNumberFormat="1" applyFont="1" applyFill="1" applyBorder="1" applyAlignment="1">
      <alignment horizontal="center"/>
    </xf>
    <xf numFmtId="3" fontId="14" fillId="0" borderId="12" xfId="0" applyNumberFormat="1" applyFont="1" applyBorder="1" applyAlignment="1">
      <alignment/>
    </xf>
    <xf numFmtId="166" fontId="14" fillId="0" borderId="44" xfId="0" applyNumberFormat="1" applyFont="1" applyBorder="1" applyAlignment="1">
      <alignment/>
    </xf>
    <xf numFmtId="165" fontId="14" fillId="0" borderId="45" xfId="44" applyNumberFormat="1" applyFont="1" applyFill="1" applyBorder="1" applyAlignment="1">
      <alignment/>
    </xf>
    <xf numFmtId="165" fontId="14" fillId="35" borderId="45" xfId="42" applyNumberFormat="1" applyFont="1" applyFill="1" applyBorder="1" applyAlignment="1">
      <alignment horizontal="center"/>
    </xf>
    <xf numFmtId="0" fontId="14" fillId="35" borderId="45" xfId="0" applyNumberFormat="1" applyFont="1" applyFill="1" applyBorder="1" applyAlignment="1">
      <alignment horizontal="center"/>
    </xf>
    <xf numFmtId="165" fontId="13" fillId="0" borderId="17" xfId="44" applyNumberFormat="1" applyFont="1" applyFill="1" applyBorder="1" applyAlignment="1">
      <alignment/>
    </xf>
    <xf numFmtId="165" fontId="13" fillId="0" borderId="46" xfId="44" applyNumberFormat="1" applyFont="1" applyFill="1" applyBorder="1" applyAlignment="1">
      <alignment/>
    </xf>
    <xf numFmtId="3" fontId="13" fillId="0" borderId="22" xfId="0" applyNumberFormat="1" applyFont="1" applyBorder="1" applyAlignment="1">
      <alignment/>
    </xf>
    <xf numFmtId="166" fontId="13" fillId="36" borderId="47" xfId="0" applyNumberFormat="1" applyFont="1" applyFill="1" applyBorder="1" applyAlignment="1">
      <alignment/>
    </xf>
    <xf numFmtId="0" fontId="13" fillId="36" borderId="41" xfId="0" applyFont="1" applyFill="1" applyBorder="1" applyAlignment="1">
      <alignment/>
    </xf>
    <xf numFmtId="0" fontId="13" fillId="35" borderId="25" xfId="0" applyFont="1" applyFill="1" applyBorder="1" applyAlignment="1">
      <alignment/>
    </xf>
    <xf numFmtId="0" fontId="13" fillId="36" borderId="25" xfId="0" applyFont="1" applyFill="1" applyBorder="1" applyAlignment="1">
      <alignment/>
    </xf>
    <xf numFmtId="165" fontId="14" fillId="0" borderId="36" xfId="44" applyNumberFormat="1" applyFont="1" applyFill="1" applyBorder="1" applyAlignment="1">
      <alignment/>
    </xf>
    <xf numFmtId="165" fontId="14" fillId="0" borderId="48" xfId="0" applyNumberFormat="1" applyFont="1" applyBorder="1" applyAlignment="1">
      <alignment/>
    </xf>
    <xf numFmtId="0" fontId="14" fillId="0" borderId="37" xfId="0" applyFont="1" applyBorder="1" applyAlignment="1">
      <alignment/>
    </xf>
    <xf numFmtId="165" fontId="13" fillId="0" borderId="49" xfId="45" applyNumberFormat="1" applyFont="1" applyFill="1" applyBorder="1" applyAlignment="1">
      <alignment/>
    </xf>
    <xf numFmtId="165" fontId="13" fillId="35" borderId="49" xfId="61" applyNumberFormat="1" applyFont="1" applyFill="1" applyBorder="1" applyAlignment="1">
      <alignment horizontal="center"/>
    </xf>
    <xf numFmtId="0" fontId="13" fillId="35" borderId="49" xfId="0" applyNumberFormat="1" applyFont="1" applyFill="1" applyBorder="1" applyAlignment="1">
      <alignment horizontal="center"/>
    </xf>
    <xf numFmtId="165" fontId="13" fillId="0" borderId="46" xfId="0" applyNumberFormat="1" applyFont="1" applyBorder="1" applyAlignment="1">
      <alignment/>
    </xf>
    <xf numFmtId="166" fontId="13" fillId="37" borderId="50" xfId="0" applyNumberFormat="1" applyFont="1" applyFill="1" applyBorder="1" applyAlignment="1">
      <alignment/>
    </xf>
    <xf numFmtId="166" fontId="14" fillId="0" borderId="32" xfId="0" applyNumberFormat="1" applyFont="1" applyBorder="1" applyAlignment="1">
      <alignment vertical="center"/>
    </xf>
    <xf numFmtId="165" fontId="14" fillId="0" borderId="43" xfId="45" applyNumberFormat="1" applyFont="1" applyFill="1" applyBorder="1" applyAlignment="1">
      <alignment/>
    </xf>
    <xf numFmtId="165" fontId="14" fillId="0" borderId="51" xfId="42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166" fontId="14" fillId="0" borderId="24" xfId="0" applyNumberFormat="1" applyFont="1" applyBorder="1" applyAlignment="1">
      <alignment vertical="center"/>
    </xf>
    <xf numFmtId="165" fontId="14" fillId="0" borderId="36" xfId="45" applyNumberFormat="1" applyFont="1" applyFill="1" applyBorder="1" applyAlignment="1">
      <alignment/>
    </xf>
    <xf numFmtId="165" fontId="14" fillId="0" borderId="34" xfId="42" applyNumberFormat="1" applyFont="1" applyBorder="1" applyAlignment="1">
      <alignment/>
    </xf>
    <xf numFmtId="165" fontId="14" fillId="35" borderId="22" xfId="42" applyNumberFormat="1" applyFont="1" applyFill="1" applyBorder="1" applyAlignment="1">
      <alignment horizontal="center"/>
    </xf>
    <xf numFmtId="165" fontId="13" fillId="35" borderId="49" xfId="0" applyNumberFormat="1" applyFont="1" applyFill="1" applyBorder="1" applyAlignment="1">
      <alignment horizontal="center"/>
    </xf>
    <xf numFmtId="165" fontId="13" fillId="0" borderId="12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166" fontId="13" fillId="10" borderId="19" xfId="0" applyNumberFormat="1" applyFont="1" applyFill="1" applyBorder="1" applyAlignment="1">
      <alignment/>
    </xf>
    <xf numFmtId="165" fontId="14" fillId="35" borderId="13" xfId="42" applyNumberFormat="1" applyFont="1" applyFill="1" applyBorder="1" applyAlignment="1">
      <alignment horizontal="right"/>
    </xf>
    <xf numFmtId="0" fontId="14" fillId="35" borderId="52" xfId="0" applyFont="1" applyFill="1" applyBorder="1" applyAlignment="1">
      <alignment horizontal="center" vertical="center" wrapText="1"/>
    </xf>
    <xf numFmtId="165" fontId="14" fillId="35" borderId="53" xfId="42" applyNumberFormat="1" applyFont="1" applyFill="1" applyBorder="1" applyAlignment="1">
      <alignment/>
    </xf>
    <xf numFmtId="165" fontId="14" fillId="0" borderId="12" xfId="0" applyNumberFormat="1" applyFont="1" applyBorder="1" applyAlignment="1">
      <alignment/>
    </xf>
    <xf numFmtId="165" fontId="14" fillId="0" borderId="33" xfId="42" applyNumberFormat="1" applyFont="1" applyFill="1" applyBorder="1" applyAlignment="1">
      <alignment/>
    </xf>
    <xf numFmtId="0" fontId="14" fillId="35" borderId="54" xfId="0" applyFont="1" applyFill="1" applyBorder="1" applyAlignment="1">
      <alignment horizontal="center" vertical="center" wrapText="1"/>
    </xf>
    <xf numFmtId="165" fontId="14" fillId="35" borderId="55" xfId="42" applyNumberFormat="1" applyFont="1" applyFill="1" applyBorder="1" applyAlignment="1">
      <alignment/>
    </xf>
    <xf numFmtId="0" fontId="14" fillId="0" borderId="20" xfId="0" applyFont="1" applyBorder="1" applyAlignment="1">
      <alignment/>
    </xf>
    <xf numFmtId="165" fontId="14" fillId="0" borderId="22" xfId="42" applyNumberFormat="1" applyFont="1" applyFill="1" applyBorder="1" applyAlignment="1">
      <alignment/>
    </xf>
    <xf numFmtId="3" fontId="14" fillId="35" borderId="54" xfId="0" applyNumberFormat="1" applyFont="1" applyFill="1" applyBorder="1" applyAlignment="1">
      <alignment horizontal="center" vertical="center" wrapText="1"/>
    </xf>
    <xf numFmtId="166" fontId="13" fillId="0" borderId="47" xfId="0" applyNumberFormat="1" applyFont="1" applyFill="1" applyBorder="1" applyAlignment="1">
      <alignment/>
    </xf>
    <xf numFmtId="165" fontId="13" fillId="0" borderId="12" xfId="44" applyNumberFormat="1" applyFont="1" applyFill="1" applyBorder="1" applyAlignment="1">
      <alignment/>
    </xf>
    <xf numFmtId="165" fontId="13" fillId="35" borderId="56" xfId="0" applyNumberFormat="1" applyFont="1" applyFill="1" applyBorder="1" applyAlignment="1">
      <alignment/>
    </xf>
    <xf numFmtId="165" fontId="13" fillId="0" borderId="25" xfId="0" applyNumberFormat="1" applyFont="1" applyFill="1" applyBorder="1" applyAlignment="1">
      <alignment/>
    </xf>
    <xf numFmtId="166" fontId="13" fillId="2" borderId="19" xfId="0" applyNumberFormat="1" applyFont="1" applyFill="1" applyBorder="1" applyAlignment="1">
      <alignment/>
    </xf>
    <xf numFmtId="0" fontId="14" fillId="0" borderId="32" xfId="0" applyFont="1" applyBorder="1" applyAlignment="1">
      <alignment/>
    </xf>
    <xf numFmtId="165" fontId="14" fillId="0" borderId="33" xfId="45" applyNumberFormat="1" applyFont="1" applyFill="1" applyBorder="1" applyAlignment="1">
      <alignment/>
    </xf>
    <xf numFmtId="0" fontId="14" fillId="0" borderId="57" xfId="0" applyNumberFormat="1" applyFont="1" applyBorder="1" applyAlignment="1">
      <alignment/>
    </xf>
    <xf numFmtId="0" fontId="14" fillId="0" borderId="35" xfId="0" applyFont="1" applyBorder="1" applyAlignment="1">
      <alignment/>
    </xf>
    <xf numFmtId="165" fontId="14" fillId="0" borderId="45" xfId="45" applyNumberFormat="1" applyFont="1" applyFill="1" applyBorder="1" applyAlignment="1">
      <alignment/>
    </xf>
    <xf numFmtId="165" fontId="13" fillId="0" borderId="47" xfId="42" applyNumberFormat="1" applyFont="1" applyBorder="1" applyAlignment="1">
      <alignment/>
    </xf>
    <xf numFmtId="165" fontId="13" fillId="0" borderId="12" xfId="42" applyNumberFormat="1" applyFont="1" applyFill="1" applyBorder="1" applyAlignment="1">
      <alignment/>
    </xf>
    <xf numFmtId="165" fontId="13" fillId="35" borderId="12" xfId="42" applyNumberFormat="1" applyFont="1" applyFill="1" applyBorder="1" applyAlignment="1">
      <alignment/>
    </xf>
    <xf numFmtId="165" fontId="13" fillId="0" borderId="30" xfId="42" applyNumberFormat="1" applyFont="1" applyBorder="1" applyAlignment="1">
      <alignment/>
    </xf>
    <xf numFmtId="0" fontId="86" fillId="0" borderId="0" xfId="0" applyFont="1" applyAlignment="1">
      <alignment/>
    </xf>
    <xf numFmtId="0" fontId="14" fillId="0" borderId="32" xfId="0" applyFont="1" applyBorder="1" applyAlignment="1">
      <alignment/>
    </xf>
    <xf numFmtId="0" fontId="14" fillId="35" borderId="33" xfId="42" applyNumberFormat="1" applyFont="1" applyFill="1" applyBorder="1" applyAlignment="1">
      <alignment horizontal="center"/>
    </xf>
    <xf numFmtId="0" fontId="14" fillId="0" borderId="57" xfId="0" applyFont="1" applyBorder="1" applyAlignment="1">
      <alignment/>
    </xf>
    <xf numFmtId="0" fontId="14" fillId="0" borderId="47" xfId="0" applyFont="1" applyBorder="1" applyAlignment="1">
      <alignment/>
    </xf>
    <xf numFmtId="0" fontId="13" fillId="35" borderId="12" xfId="0" applyNumberFormat="1" applyFont="1" applyFill="1" applyBorder="1" applyAlignment="1">
      <alignment horizontal="center"/>
    </xf>
    <xf numFmtId="0" fontId="13" fillId="0" borderId="30" xfId="0" applyNumberFormat="1" applyFont="1" applyBorder="1" applyAlignment="1">
      <alignment/>
    </xf>
    <xf numFmtId="2" fontId="13" fillId="2" borderId="19" xfId="0" applyNumberFormat="1" applyFont="1" applyFill="1" applyBorder="1" applyAlignment="1">
      <alignment/>
    </xf>
    <xf numFmtId="0" fontId="13" fillId="2" borderId="30" xfId="0" applyFont="1" applyFill="1" applyBorder="1" applyAlignment="1">
      <alignment horizontal="left"/>
    </xf>
    <xf numFmtId="0" fontId="13" fillId="2" borderId="25" xfId="0" applyFont="1" applyFill="1" applyBorder="1" applyAlignment="1">
      <alignment horizontal="left"/>
    </xf>
    <xf numFmtId="0" fontId="13" fillId="35" borderId="25" xfId="0" applyFont="1" applyFill="1" applyBorder="1" applyAlignment="1">
      <alignment horizontal="left"/>
    </xf>
    <xf numFmtId="0" fontId="13" fillId="2" borderId="31" xfId="0" applyFont="1" applyFill="1" applyBorder="1" applyAlignment="1">
      <alignment horizontal="left"/>
    </xf>
    <xf numFmtId="165" fontId="14" fillId="0" borderId="0" xfId="44" applyNumberFormat="1" applyFont="1" applyFill="1" applyBorder="1" applyAlignment="1">
      <alignment/>
    </xf>
    <xf numFmtId="0" fontId="14" fillId="0" borderId="55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165" fontId="13" fillId="0" borderId="36" xfId="0" applyNumberFormat="1" applyFont="1" applyFill="1" applyBorder="1" applyAlignment="1">
      <alignment horizontal="center"/>
    </xf>
    <xf numFmtId="0" fontId="13" fillId="35" borderId="36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165" fontId="13" fillId="0" borderId="12" xfId="0" applyNumberFormat="1" applyFont="1" applyFill="1" applyBorder="1" applyAlignment="1">
      <alignment horizontal="center"/>
    </xf>
    <xf numFmtId="0" fontId="13" fillId="0" borderId="12" xfId="0" applyFont="1" applyBorder="1" applyAlignment="1">
      <alignment/>
    </xf>
    <xf numFmtId="165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165" fontId="13" fillId="22" borderId="12" xfId="0" applyNumberFormat="1" applyFont="1" applyFill="1" applyBorder="1" applyAlignment="1">
      <alignment horizontal="center"/>
    </xf>
    <xf numFmtId="166" fontId="13" fillId="9" borderId="19" xfId="0" applyNumberFormat="1" applyFont="1" applyFill="1" applyBorder="1" applyAlignment="1">
      <alignment/>
    </xf>
    <xf numFmtId="0" fontId="86" fillId="9" borderId="0" xfId="0" applyFont="1" applyFill="1" applyAlignment="1">
      <alignment/>
    </xf>
    <xf numFmtId="0" fontId="14" fillId="0" borderId="58" xfId="0" applyFont="1" applyBorder="1" applyAlignment="1">
      <alignment/>
    </xf>
    <xf numFmtId="165" fontId="14" fillId="0" borderId="59" xfId="45" applyNumberFormat="1" applyFont="1" applyFill="1" applyBorder="1" applyAlignment="1">
      <alignment/>
    </xf>
    <xf numFmtId="0" fontId="14" fillId="35" borderId="59" xfId="0" applyNumberFormat="1" applyFont="1" applyFill="1" applyBorder="1" applyAlignment="1">
      <alignment horizontal="center"/>
    </xf>
    <xf numFmtId="165" fontId="14" fillId="0" borderId="60" xfId="0" applyNumberFormat="1" applyFont="1" applyBorder="1" applyAlignment="1">
      <alignment/>
    </xf>
    <xf numFmtId="0" fontId="14" fillId="0" borderId="19" xfId="0" applyFont="1" applyBorder="1" applyAlignment="1">
      <alignment/>
    </xf>
    <xf numFmtId="0" fontId="14" fillId="35" borderId="13" xfId="0" applyNumberFormat="1" applyFont="1" applyFill="1" applyBorder="1" applyAlignment="1">
      <alignment horizontal="center"/>
    </xf>
    <xf numFmtId="0" fontId="13" fillId="0" borderId="47" xfId="0" applyFont="1" applyBorder="1" applyAlignment="1">
      <alignment/>
    </xf>
    <xf numFmtId="0" fontId="13" fillId="35" borderId="12" xfId="0" applyFont="1" applyFill="1" applyBorder="1" applyAlignment="1">
      <alignment/>
    </xf>
    <xf numFmtId="0" fontId="13" fillId="35" borderId="12" xfId="0" applyNumberFormat="1" applyFont="1" applyFill="1" applyBorder="1" applyAlignment="1">
      <alignment/>
    </xf>
    <xf numFmtId="165" fontId="14" fillId="35" borderId="59" xfId="42" applyNumberFormat="1" applyFont="1" applyFill="1" applyBorder="1" applyAlignment="1">
      <alignment horizontal="center"/>
    </xf>
    <xf numFmtId="165" fontId="13" fillId="0" borderId="0" xfId="44" applyNumberFormat="1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3" fillId="35" borderId="0" xfId="0" applyNumberFormat="1" applyFont="1" applyFill="1" applyBorder="1" applyAlignment="1">
      <alignment/>
    </xf>
    <xf numFmtId="165" fontId="13" fillId="35" borderId="0" xfId="42" applyNumberFormat="1" applyFont="1" applyFill="1" applyBorder="1" applyAlignment="1">
      <alignment/>
    </xf>
    <xf numFmtId="165" fontId="13" fillId="0" borderId="61" xfId="42" applyNumberFormat="1" applyFont="1" applyBorder="1" applyAlignment="1">
      <alignment/>
    </xf>
    <xf numFmtId="165" fontId="14" fillId="35" borderId="59" xfId="45" applyNumberFormat="1" applyFont="1" applyFill="1" applyBorder="1" applyAlignment="1">
      <alignment/>
    </xf>
    <xf numFmtId="165" fontId="14" fillId="0" borderId="62" xfId="42" applyNumberFormat="1" applyFont="1" applyBorder="1" applyAlignment="1">
      <alignment/>
    </xf>
    <xf numFmtId="0" fontId="87" fillId="0" borderId="12" xfId="0" applyFont="1" applyBorder="1" applyAlignment="1">
      <alignment/>
    </xf>
    <xf numFmtId="165" fontId="14" fillId="0" borderId="13" xfId="45" applyNumberFormat="1" applyFont="1" applyFill="1" applyBorder="1" applyAlignment="1">
      <alignment/>
    </xf>
    <xf numFmtId="165" fontId="14" fillId="35" borderId="13" xfId="42" applyNumberFormat="1" applyFont="1" applyFill="1" applyBorder="1" applyAlignment="1">
      <alignment horizontal="center"/>
    </xf>
    <xf numFmtId="0" fontId="88" fillId="0" borderId="12" xfId="0" applyFont="1" applyBorder="1" applyAlignment="1">
      <alignment/>
    </xf>
    <xf numFmtId="3" fontId="89" fillId="35" borderId="54" xfId="0" applyNumberFormat="1" applyFont="1" applyFill="1" applyBorder="1" applyAlignment="1">
      <alignment horizontal="center" vertical="center" wrapText="1"/>
    </xf>
    <xf numFmtId="0" fontId="89" fillId="35" borderId="54" xfId="0" applyFont="1" applyFill="1" applyBorder="1" applyAlignment="1">
      <alignment horizontal="center" vertical="center" wrapText="1"/>
    </xf>
    <xf numFmtId="165" fontId="14" fillId="0" borderId="27" xfId="45" applyNumberFormat="1" applyFont="1" applyFill="1" applyBorder="1" applyAlignment="1">
      <alignment/>
    </xf>
    <xf numFmtId="0" fontId="14" fillId="35" borderId="27" xfId="0" applyNumberFormat="1" applyFont="1" applyFill="1" applyBorder="1" applyAlignment="1">
      <alignment horizontal="center"/>
    </xf>
    <xf numFmtId="165" fontId="14" fillId="0" borderId="63" xfId="42" applyNumberFormat="1" applyFont="1" applyBorder="1" applyAlignment="1">
      <alignment/>
    </xf>
    <xf numFmtId="165" fontId="14" fillId="0" borderId="12" xfId="44" applyNumberFormat="1" applyFont="1" applyFill="1" applyBorder="1" applyAlignment="1">
      <alignment/>
    </xf>
    <xf numFmtId="0" fontId="14" fillId="35" borderId="12" xfId="0" applyFont="1" applyFill="1" applyBorder="1" applyAlignment="1">
      <alignment/>
    </xf>
    <xf numFmtId="0" fontId="90" fillId="35" borderId="54" xfId="0" applyFont="1" applyFill="1" applyBorder="1" applyAlignment="1">
      <alignment horizontal="center" vertical="center" wrapText="1"/>
    </xf>
    <xf numFmtId="165" fontId="14" fillId="0" borderId="53" xfId="42" applyNumberFormat="1" applyFont="1" applyBorder="1" applyAlignment="1">
      <alignment/>
    </xf>
    <xf numFmtId="165" fontId="14" fillId="0" borderId="60" xfId="42" applyNumberFormat="1" applyFont="1" applyBorder="1" applyAlignment="1">
      <alignment/>
    </xf>
    <xf numFmtId="0" fontId="14" fillId="0" borderId="59" xfId="0" applyNumberFormat="1" applyFont="1" applyFill="1" applyBorder="1" applyAlignment="1">
      <alignment/>
    </xf>
    <xf numFmtId="165" fontId="14" fillId="35" borderId="27" xfId="42" applyNumberFormat="1" applyFont="1" applyFill="1" applyBorder="1" applyAlignment="1">
      <alignment horizontal="center"/>
    </xf>
    <xf numFmtId="165" fontId="14" fillId="0" borderId="64" xfId="42" applyNumberFormat="1" applyFont="1" applyBorder="1" applyAlignment="1">
      <alignment/>
    </xf>
    <xf numFmtId="165" fontId="14" fillId="35" borderId="12" xfId="42" applyNumberFormat="1" applyFont="1" applyFill="1" applyBorder="1" applyAlignment="1">
      <alignment/>
    </xf>
    <xf numFmtId="165" fontId="13" fillId="0" borderId="55" xfId="42" applyNumberFormat="1" applyFont="1" applyBorder="1" applyAlignment="1">
      <alignment/>
    </xf>
    <xf numFmtId="3" fontId="14" fillId="0" borderId="33" xfId="0" applyNumberFormat="1" applyFont="1" applyBorder="1" applyAlignment="1">
      <alignment/>
    </xf>
    <xf numFmtId="165" fontId="14" fillId="0" borderId="48" xfId="42" applyNumberFormat="1" applyFont="1" applyBorder="1" applyAlignment="1">
      <alignment/>
    </xf>
    <xf numFmtId="165" fontId="13" fillId="35" borderId="12" xfId="0" applyNumberFormat="1" applyFont="1" applyFill="1" applyBorder="1" applyAlignment="1">
      <alignment/>
    </xf>
    <xf numFmtId="165" fontId="13" fillId="0" borderId="12" xfId="42" applyNumberFormat="1" applyFont="1" applyBorder="1" applyAlignment="1">
      <alignment/>
    </xf>
    <xf numFmtId="165" fontId="14" fillId="0" borderId="12" xfId="42" applyNumberFormat="1" applyFont="1" applyBorder="1" applyAlignment="1">
      <alignment/>
    </xf>
    <xf numFmtId="165" fontId="88" fillId="0" borderId="12" xfId="0" applyNumberFormat="1" applyFont="1" applyBorder="1" applyAlignment="1">
      <alignment/>
    </xf>
    <xf numFmtId="165" fontId="13" fillId="0" borderId="34" xfId="42" applyNumberFormat="1" applyFont="1" applyBorder="1" applyAlignment="1">
      <alignment/>
    </xf>
    <xf numFmtId="165" fontId="14" fillId="35" borderId="12" xfId="42" applyNumberFormat="1" applyFont="1" applyFill="1" applyBorder="1" applyAlignment="1">
      <alignment horizontal="center"/>
    </xf>
    <xf numFmtId="165" fontId="14" fillId="35" borderId="0" xfId="42" applyNumberFormat="1" applyFont="1" applyFill="1" applyBorder="1" applyAlignment="1">
      <alignment horizontal="center"/>
    </xf>
    <xf numFmtId="165" fontId="14" fillId="35" borderId="0" xfId="42" applyNumberFormat="1" applyFont="1" applyFill="1" applyBorder="1" applyAlignment="1">
      <alignment/>
    </xf>
    <xf numFmtId="165" fontId="14" fillId="0" borderId="11" xfId="42" applyNumberFormat="1" applyFont="1" applyBorder="1" applyAlignment="1">
      <alignment/>
    </xf>
    <xf numFmtId="165" fontId="13" fillId="35" borderId="12" xfId="44" applyNumberFormat="1" applyFont="1" applyFill="1" applyBorder="1" applyAlignment="1">
      <alignment/>
    </xf>
    <xf numFmtId="165" fontId="13" fillId="0" borderId="30" xfId="44" applyNumberFormat="1" applyFont="1" applyFill="1" applyBorder="1" applyAlignment="1">
      <alignment/>
    </xf>
    <xf numFmtId="165" fontId="87" fillId="0" borderId="12" xfId="0" applyNumberFormat="1" applyFont="1" applyBorder="1" applyAlignment="1">
      <alignment/>
    </xf>
    <xf numFmtId="165" fontId="13" fillId="0" borderId="12" xfId="44" applyNumberFormat="1" applyFont="1" applyFill="1" applyBorder="1" applyAlignment="1">
      <alignment/>
    </xf>
    <xf numFmtId="0" fontId="87" fillId="0" borderId="0" xfId="0" applyFont="1" applyBorder="1" applyAlignment="1">
      <alignment/>
    </xf>
    <xf numFmtId="165" fontId="87" fillId="0" borderId="0" xfId="0" applyNumberFormat="1" applyFont="1" applyBorder="1" applyAlignment="1">
      <alignment/>
    </xf>
    <xf numFmtId="165" fontId="13" fillId="22" borderId="12" xfId="45" applyNumberFormat="1" applyFont="1" applyFill="1" applyBorder="1" applyAlignment="1">
      <alignment/>
    </xf>
    <xf numFmtId="165" fontId="13" fillId="0" borderId="25" xfId="44" applyNumberFormat="1" applyFont="1" applyFill="1" applyBorder="1" applyAlignment="1">
      <alignment/>
    </xf>
    <xf numFmtId="165" fontId="13" fillId="35" borderId="21" xfId="0" applyNumberFormat="1" applyFont="1" applyFill="1" applyBorder="1" applyAlignment="1">
      <alignment/>
    </xf>
    <xf numFmtId="165" fontId="13" fillId="35" borderId="21" xfId="42" applyNumberFormat="1" applyFont="1" applyFill="1" applyBorder="1" applyAlignment="1">
      <alignment/>
    </xf>
    <xf numFmtId="165" fontId="13" fillId="0" borderId="21" xfId="42" applyNumberFormat="1" applyFont="1" applyBorder="1" applyAlignment="1">
      <alignment/>
    </xf>
    <xf numFmtId="0" fontId="88" fillId="0" borderId="0" xfId="0" applyFont="1" applyBorder="1" applyAlignment="1">
      <alignment/>
    </xf>
    <xf numFmtId="165" fontId="13" fillId="35" borderId="25" xfId="44" applyNumberFormat="1" applyFont="1" applyFill="1" applyBorder="1" applyAlignment="1">
      <alignment/>
    </xf>
    <xf numFmtId="165" fontId="14" fillId="0" borderId="30" xfId="44" applyNumberFormat="1" applyFont="1" applyFill="1" applyBorder="1" applyAlignment="1">
      <alignment/>
    </xf>
    <xf numFmtId="165" fontId="14" fillId="35" borderId="12" xfId="0" applyNumberFormat="1" applyFont="1" applyFill="1" applyBorder="1" applyAlignment="1">
      <alignment/>
    </xf>
    <xf numFmtId="165" fontId="14" fillId="35" borderId="22" xfId="0" applyNumberFormat="1" applyFont="1" applyFill="1" applyBorder="1" applyAlignment="1">
      <alignment/>
    </xf>
    <xf numFmtId="165" fontId="14" fillId="35" borderId="22" xfId="42" applyNumberFormat="1" applyFont="1" applyFill="1" applyBorder="1" applyAlignment="1">
      <alignment/>
    </xf>
    <xf numFmtId="165" fontId="14" fillId="0" borderId="22" xfId="42" applyNumberFormat="1" applyFont="1" applyBorder="1" applyAlignment="1">
      <alignment/>
    </xf>
    <xf numFmtId="165" fontId="13" fillId="22" borderId="12" xfId="44" applyNumberFormat="1" applyFont="1" applyFill="1" applyBorder="1" applyAlignment="1">
      <alignment/>
    </xf>
    <xf numFmtId="165" fontId="88" fillId="0" borderId="0" xfId="0" applyNumberFormat="1" applyFont="1" applyBorder="1" applyAlignment="1">
      <alignment/>
    </xf>
    <xf numFmtId="165" fontId="14" fillId="0" borderId="62" xfId="45" applyNumberFormat="1" applyFont="1" applyFill="1" applyBorder="1" applyAlignment="1">
      <alignment/>
    </xf>
    <xf numFmtId="0" fontId="14" fillId="0" borderId="12" xfId="0" applyFont="1" applyBorder="1" applyAlignment="1">
      <alignment/>
    </xf>
    <xf numFmtId="0" fontId="87" fillId="0" borderId="12" xfId="0" applyFont="1" applyBorder="1" applyAlignment="1">
      <alignment horizontal="center"/>
    </xf>
    <xf numFmtId="165" fontId="13" fillId="0" borderId="59" xfId="45" applyNumberFormat="1" applyFont="1" applyFill="1" applyBorder="1" applyAlignment="1">
      <alignment/>
    </xf>
    <xf numFmtId="165" fontId="13" fillId="35" borderId="59" xfId="45" applyNumberFormat="1" applyFont="1" applyFill="1" applyBorder="1" applyAlignment="1">
      <alignment/>
    </xf>
    <xf numFmtId="165" fontId="13" fillId="0" borderId="0" xfId="45" applyNumberFormat="1" applyFont="1" applyFill="1" applyBorder="1" applyAlignment="1">
      <alignment/>
    </xf>
    <xf numFmtId="165" fontId="13" fillId="35" borderId="0" xfId="45" applyNumberFormat="1" applyFont="1" applyFill="1" applyBorder="1" applyAlignment="1">
      <alignment/>
    </xf>
    <xf numFmtId="165" fontId="14" fillId="0" borderId="0" xfId="45" applyNumberFormat="1" applyFont="1" applyFill="1" applyBorder="1" applyAlignment="1">
      <alignment/>
    </xf>
    <xf numFmtId="165" fontId="14" fillId="35" borderId="0" xfId="45" applyNumberFormat="1" applyFont="1" applyFill="1" applyBorder="1" applyAlignment="1">
      <alignment/>
    </xf>
    <xf numFmtId="165" fontId="13" fillId="35" borderId="0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13" fillId="0" borderId="12" xfId="0" applyFont="1" applyBorder="1" applyAlignment="1">
      <alignment/>
    </xf>
    <xf numFmtId="0" fontId="14" fillId="35" borderId="0" xfId="0" applyFont="1" applyFill="1" applyBorder="1" applyAlignment="1">
      <alignment/>
    </xf>
    <xf numFmtId="0" fontId="87" fillId="0" borderId="0" xfId="0" applyFont="1" applyAlignment="1">
      <alignment/>
    </xf>
    <xf numFmtId="166" fontId="14" fillId="2" borderId="19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88" fillId="0" borderId="12" xfId="0" applyFont="1" applyBorder="1" applyAlignment="1">
      <alignment horizontal="center"/>
    </xf>
    <xf numFmtId="0" fontId="13" fillId="0" borderId="29" xfId="0" applyFont="1" applyBorder="1" applyAlignment="1">
      <alignment/>
    </xf>
    <xf numFmtId="165" fontId="13" fillId="35" borderId="25" xfId="0" applyNumberFormat="1" applyFont="1" applyFill="1" applyBorder="1" applyAlignment="1">
      <alignment/>
    </xf>
    <xf numFmtId="165" fontId="13" fillId="35" borderId="25" xfId="42" applyNumberFormat="1" applyFont="1" applyFill="1" applyBorder="1" applyAlignment="1">
      <alignment/>
    </xf>
    <xf numFmtId="165" fontId="13" fillId="0" borderId="31" xfId="42" applyNumberFormat="1" applyFont="1" applyBorder="1" applyAlignment="1">
      <alignment/>
    </xf>
    <xf numFmtId="0" fontId="13" fillId="0" borderId="50" xfId="0" applyFont="1" applyBorder="1" applyAlignment="1">
      <alignment/>
    </xf>
    <xf numFmtId="165" fontId="13" fillId="0" borderId="65" xfId="44" applyNumberFormat="1" applyFont="1" applyFill="1" applyBorder="1" applyAlignment="1">
      <alignment/>
    </xf>
    <xf numFmtId="165" fontId="13" fillId="35" borderId="65" xfId="0" applyNumberFormat="1" applyFont="1" applyFill="1" applyBorder="1" applyAlignment="1">
      <alignment/>
    </xf>
    <xf numFmtId="165" fontId="13" fillId="35" borderId="65" xfId="42" applyNumberFormat="1" applyFont="1" applyFill="1" applyBorder="1" applyAlignment="1">
      <alignment/>
    </xf>
    <xf numFmtId="165" fontId="13" fillId="0" borderId="65" xfId="42" applyNumberFormat="1" applyFont="1" applyBorder="1" applyAlignment="1">
      <alignment/>
    </xf>
    <xf numFmtId="165" fontId="13" fillId="35" borderId="65" xfId="44" applyNumberFormat="1" applyFont="1" applyFill="1" applyBorder="1" applyAlignment="1">
      <alignment/>
    </xf>
    <xf numFmtId="0" fontId="13" fillId="22" borderId="50" xfId="0" applyFont="1" applyFill="1" applyBorder="1" applyAlignment="1">
      <alignment/>
    </xf>
    <xf numFmtId="0" fontId="13" fillId="22" borderId="47" xfId="0" applyFont="1" applyFill="1" applyBorder="1" applyAlignment="1">
      <alignment/>
    </xf>
    <xf numFmtId="165" fontId="13" fillId="22" borderId="12" xfId="0" applyNumberFormat="1" applyFont="1" applyFill="1" applyBorder="1" applyAlignment="1">
      <alignment/>
    </xf>
    <xf numFmtId="165" fontId="13" fillId="22" borderId="12" xfId="42" applyNumberFormat="1" applyFont="1" applyFill="1" applyBorder="1" applyAlignment="1">
      <alignment/>
    </xf>
    <xf numFmtId="165" fontId="13" fillId="22" borderId="30" xfId="42" applyNumberFormat="1" applyFont="1" applyFill="1" applyBorder="1" applyAlignment="1">
      <alignment/>
    </xf>
    <xf numFmtId="165" fontId="13" fillId="0" borderId="12" xfId="0" applyNumberFormat="1" applyFont="1" applyBorder="1" applyAlignment="1">
      <alignment/>
    </xf>
    <xf numFmtId="165" fontId="13" fillId="0" borderId="30" xfId="0" applyNumberFormat="1" applyFont="1" applyBorder="1" applyAlignment="1">
      <alignment/>
    </xf>
    <xf numFmtId="165" fontId="13" fillId="0" borderId="55" xfId="0" applyNumberFormat="1" applyFont="1" applyBorder="1" applyAlignment="1">
      <alignment/>
    </xf>
    <xf numFmtId="165" fontId="13" fillId="0" borderId="0" xfId="0" applyNumberFormat="1" applyFont="1" applyBorder="1" applyAlignment="1">
      <alignment/>
    </xf>
    <xf numFmtId="165" fontId="13" fillId="0" borderId="61" xfId="0" applyNumberFormat="1" applyFont="1" applyBorder="1" applyAlignment="1">
      <alignment/>
    </xf>
    <xf numFmtId="165" fontId="86" fillId="0" borderId="0" xfId="0" applyNumberFormat="1" applyFont="1" applyAlignment="1">
      <alignment/>
    </xf>
    <xf numFmtId="0" fontId="59" fillId="35" borderId="0" xfId="0" applyFont="1" applyFill="1" applyBorder="1" applyAlignment="1">
      <alignment/>
    </xf>
    <xf numFmtId="0" fontId="14" fillId="0" borderId="61" xfId="0" applyFont="1" applyBorder="1" applyAlignment="1">
      <alignment/>
    </xf>
    <xf numFmtId="0" fontId="59" fillId="0" borderId="61" xfId="0" applyFont="1" applyBorder="1" applyAlignment="1">
      <alignment/>
    </xf>
    <xf numFmtId="0" fontId="13" fillId="0" borderId="61" xfId="0" applyFont="1" applyBorder="1" applyAlignment="1">
      <alignment/>
    </xf>
    <xf numFmtId="0" fontId="14" fillId="0" borderId="20" xfId="0" applyFont="1" applyBorder="1" applyAlignment="1">
      <alignment horizontal="left"/>
    </xf>
    <xf numFmtId="43" fontId="13" fillId="0" borderId="0" xfId="44" applyFont="1" applyFill="1" applyBorder="1" applyAlignment="1">
      <alignment horizontal="left"/>
    </xf>
    <xf numFmtId="0" fontId="14" fillId="35" borderId="0" xfId="0" applyFont="1" applyFill="1" applyBorder="1" applyAlignment="1">
      <alignment horizontal="left"/>
    </xf>
    <xf numFmtId="0" fontId="14" fillId="0" borderId="66" xfId="0" applyFont="1" applyBorder="1" applyAlignment="1">
      <alignment horizontal="left"/>
    </xf>
    <xf numFmtId="0" fontId="13" fillId="0" borderId="67" xfId="0" applyFont="1" applyFill="1" applyBorder="1" applyAlignment="1">
      <alignment/>
    </xf>
    <xf numFmtId="0" fontId="14" fillId="35" borderId="67" xfId="0" applyFont="1" applyFill="1" applyBorder="1" applyAlignment="1">
      <alignment/>
    </xf>
    <xf numFmtId="0" fontId="59" fillId="35" borderId="67" xfId="0" applyFont="1" applyFill="1" applyBorder="1" applyAlignment="1">
      <alignment/>
    </xf>
    <xf numFmtId="0" fontId="59" fillId="0" borderId="68" xfId="0" applyFont="1" applyBorder="1" applyAlignment="1">
      <alignment/>
    </xf>
    <xf numFmtId="0" fontId="17" fillId="0" borderId="0" xfId="0" applyFont="1" applyBorder="1" applyAlignment="1">
      <alignment horizontal="left"/>
    </xf>
    <xf numFmtId="43" fontId="18" fillId="0" borderId="0" xfId="44" applyFont="1" applyFill="1" applyBorder="1" applyAlignment="1">
      <alignment horizontal="left"/>
    </xf>
    <xf numFmtId="0" fontId="17" fillId="35" borderId="0" xfId="0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13" fillId="0" borderId="22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27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0" borderId="17" xfId="0" applyFont="1" applyBorder="1" applyAlignment="1">
      <alignment vertical="center" wrapText="1"/>
    </xf>
    <xf numFmtId="0" fontId="13" fillId="7" borderId="40" xfId="0" applyFont="1" applyFill="1" applyBorder="1" applyAlignment="1">
      <alignment horizontal="left" wrapText="1"/>
    </xf>
    <xf numFmtId="0" fontId="13" fillId="36" borderId="40" xfId="0" applyFont="1" applyFill="1" applyBorder="1" applyAlignment="1">
      <alignment wrapText="1"/>
    </xf>
    <xf numFmtId="0" fontId="13" fillId="0" borderId="69" xfId="0" applyFont="1" applyFill="1" applyBorder="1" applyAlignment="1">
      <alignment wrapText="1"/>
    </xf>
    <xf numFmtId="0" fontId="13" fillId="0" borderId="56" xfId="0" applyFont="1" applyFill="1" applyBorder="1" applyAlignment="1">
      <alignment wrapText="1"/>
    </xf>
    <xf numFmtId="165" fontId="13" fillId="0" borderId="12" xfId="42" applyNumberFormat="1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0" fontId="13" fillId="2" borderId="3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wrapText="1"/>
    </xf>
    <xf numFmtId="0" fontId="13" fillId="22" borderId="12" xfId="0" applyFont="1" applyFill="1" applyBorder="1" applyAlignment="1">
      <alignment wrapText="1"/>
    </xf>
    <xf numFmtId="0" fontId="14" fillId="0" borderId="30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4" fillId="22" borderId="12" xfId="0" applyFont="1" applyFill="1" applyBorder="1" applyAlignment="1">
      <alignment wrapText="1"/>
    </xf>
    <xf numFmtId="0" fontId="13" fillId="0" borderId="30" xfId="0" applyFont="1" applyFill="1" applyBorder="1" applyAlignment="1">
      <alignment wrapText="1"/>
    </xf>
    <xf numFmtId="165" fontId="14" fillId="35" borderId="59" xfId="42" applyNumberFormat="1" applyFont="1" applyFill="1" applyBorder="1" applyAlignment="1">
      <alignment horizontal="left" wrapText="1"/>
    </xf>
    <xf numFmtId="0" fontId="13" fillId="22" borderId="0" xfId="0" applyFont="1" applyFill="1" applyBorder="1" applyAlignment="1">
      <alignment wrapText="1"/>
    </xf>
    <xf numFmtId="0" fontId="14" fillId="0" borderId="12" xfId="0" applyFont="1" applyBorder="1" applyAlignment="1">
      <alignment wrapText="1"/>
    </xf>
    <xf numFmtId="0" fontId="14" fillId="0" borderId="0" xfId="0" applyFont="1" applyBorder="1" applyAlignment="1">
      <alignment vertical="center" wrapText="1"/>
    </xf>
    <xf numFmtId="0" fontId="88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6" fillId="0" borderId="25" xfId="0" applyFont="1" applyFill="1" applyBorder="1" applyAlignment="1">
      <alignment wrapText="1"/>
    </xf>
    <xf numFmtId="0" fontId="13" fillId="0" borderId="65" xfId="0" applyFont="1" applyFill="1" applyBorder="1" applyAlignment="1">
      <alignment wrapText="1"/>
    </xf>
    <xf numFmtId="0" fontId="13" fillId="0" borderId="25" xfId="0" applyFont="1" applyFill="1" applyBorder="1" applyAlignment="1">
      <alignment wrapText="1"/>
    </xf>
    <xf numFmtId="0" fontId="13" fillId="22" borderId="25" xfId="0" applyFont="1" applyFill="1" applyBorder="1" applyAlignment="1">
      <alignment wrapText="1"/>
    </xf>
    <xf numFmtId="0" fontId="59" fillId="0" borderId="0" xfId="0" applyFont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59" fillId="0" borderId="67" xfId="0" applyFont="1" applyBorder="1" applyAlignment="1">
      <alignment wrapText="1"/>
    </xf>
    <xf numFmtId="0" fontId="18" fillId="0" borderId="0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wrapText="1"/>
    </xf>
    <xf numFmtId="0" fontId="10" fillId="0" borderId="0" xfId="0" applyFont="1" applyAlignment="1">
      <alignment/>
    </xf>
    <xf numFmtId="0" fontId="10" fillId="0" borderId="12" xfId="0" applyFont="1" applyBorder="1" applyAlignment="1">
      <alignment/>
    </xf>
    <xf numFmtId="165" fontId="10" fillId="0" borderId="12" xfId="42" applyNumberFormat="1" applyFont="1" applyBorder="1" applyAlignment="1">
      <alignment/>
    </xf>
    <xf numFmtId="165" fontId="19" fillId="0" borderId="12" xfId="42" applyNumberFormat="1" applyFont="1" applyBorder="1" applyAlignment="1">
      <alignment/>
    </xf>
    <xf numFmtId="165" fontId="10" fillId="0" borderId="13" xfId="42" applyNumberFormat="1" applyFont="1" applyBorder="1" applyAlignment="1">
      <alignment/>
    </xf>
    <xf numFmtId="165" fontId="10" fillId="0" borderId="22" xfId="42" applyNumberFormat="1" applyFont="1" applyBorder="1" applyAlignment="1">
      <alignment/>
    </xf>
    <xf numFmtId="165" fontId="20" fillId="0" borderId="37" xfId="42" applyNumberFormat="1" applyFont="1" applyBorder="1" applyAlignment="1">
      <alignment/>
    </xf>
    <xf numFmtId="165" fontId="20" fillId="0" borderId="38" xfId="42" applyNumberFormat="1" applyFont="1" applyBorder="1" applyAlignment="1">
      <alignment/>
    </xf>
    <xf numFmtId="165" fontId="20" fillId="0" borderId="70" xfId="0" applyNumberFormat="1" applyFont="1" applyBorder="1" applyAlignment="1">
      <alignment/>
    </xf>
    <xf numFmtId="165" fontId="19" fillId="0" borderId="37" xfId="42" applyNumberFormat="1" applyFont="1" applyBorder="1" applyAlignment="1">
      <alignment/>
    </xf>
    <xf numFmtId="165" fontId="19" fillId="0" borderId="22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165" fontId="10" fillId="0" borderId="37" xfId="42" applyNumberFormat="1" applyFont="1" applyBorder="1" applyAlignment="1">
      <alignment/>
    </xf>
    <xf numFmtId="165" fontId="20" fillId="0" borderId="17" xfId="42" applyNumberFormat="1" applyFont="1" applyBorder="1" applyAlignment="1">
      <alignment/>
    </xf>
    <xf numFmtId="165" fontId="10" fillId="0" borderId="27" xfId="42" applyNumberFormat="1" applyFont="1" applyBorder="1" applyAlignment="1">
      <alignment/>
    </xf>
    <xf numFmtId="165" fontId="20" fillId="0" borderId="22" xfId="42" applyNumberFormat="1" applyFont="1" applyBorder="1" applyAlignment="1">
      <alignment/>
    </xf>
    <xf numFmtId="165" fontId="20" fillId="0" borderId="12" xfId="42" applyNumberFormat="1" applyFont="1" applyBorder="1" applyAlignment="1">
      <alignment/>
    </xf>
    <xf numFmtId="165" fontId="20" fillId="0" borderId="71" xfId="42" applyNumberFormat="1" applyFont="1" applyBorder="1" applyAlignment="1">
      <alignment/>
    </xf>
    <xf numFmtId="165" fontId="0" fillId="0" borderId="12" xfId="0" applyNumberFormat="1" applyBorder="1" applyAlignment="1">
      <alignment/>
    </xf>
    <xf numFmtId="9" fontId="7" fillId="0" borderId="0" xfId="61" applyFont="1" applyAlignment="1">
      <alignment/>
    </xf>
    <xf numFmtId="0" fontId="9" fillId="0" borderId="0" xfId="0" applyFont="1" applyAlignment="1">
      <alignment wrapText="1"/>
    </xf>
    <xf numFmtId="43" fontId="0" fillId="0" borderId="17" xfId="0" applyNumberFormat="1" applyBorder="1" applyAlignment="1">
      <alignment/>
    </xf>
    <xf numFmtId="165" fontId="0" fillId="0" borderId="17" xfId="42" applyNumberFormat="1" applyFont="1" applyBorder="1" applyAlignment="1">
      <alignment/>
    </xf>
    <xf numFmtId="43" fontId="0" fillId="0" borderId="12" xfId="0" applyNumberFormat="1" applyBorder="1" applyAlignment="1">
      <alignment/>
    </xf>
    <xf numFmtId="0" fontId="8" fillId="0" borderId="0" xfId="0" applyFont="1" applyBorder="1" applyAlignment="1">
      <alignment wrapText="1"/>
    </xf>
    <xf numFmtId="165" fontId="10" fillId="0" borderId="0" xfId="0" applyNumberFormat="1" applyFont="1" applyAlignment="1">
      <alignment/>
    </xf>
    <xf numFmtId="0" fontId="16" fillId="0" borderId="30" xfId="0" applyFont="1" applyFill="1" applyBorder="1" applyAlignment="1">
      <alignment wrapText="1"/>
    </xf>
    <xf numFmtId="0" fontId="10" fillId="0" borderId="30" xfId="0" applyFont="1" applyBorder="1" applyAlignment="1">
      <alignment/>
    </xf>
    <xf numFmtId="165" fontId="10" fillId="0" borderId="30" xfId="0" applyNumberFormat="1" applyFont="1" applyBorder="1" applyAlignment="1">
      <alignment/>
    </xf>
    <xf numFmtId="0" fontId="24" fillId="0" borderId="12" xfId="0" applyFont="1" applyBorder="1" applyAlignment="1">
      <alignment/>
    </xf>
    <xf numFmtId="9" fontId="24" fillId="0" borderId="12" xfId="61" applyFont="1" applyBorder="1" applyAlignment="1">
      <alignment/>
    </xf>
    <xf numFmtId="165" fontId="13" fillId="35" borderId="12" xfId="0" applyNumberFormat="1" applyFont="1" applyFill="1" applyBorder="1" applyAlignment="1">
      <alignment horizontal="center"/>
    </xf>
    <xf numFmtId="165" fontId="14" fillId="35" borderId="13" xfId="45" applyNumberFormat="1" applyFont="1" applyFill="1" applyBorder="1" applyAlignment="1">
      <alignment/>
    </xf>
    <xf numFmtId="165" fontId="13" fillId="35" borderId="12" xfId="45" applyNumberFormat="1" applyFont="1" applyFill="1" applyBorder="1" applyAlignment="1">
      <alignment/>
    </xf>
    <xf numFmtId="0" fontId="0" fillId="35" borderId="0" xfId="0" applyFill="1" applyAlignment="1">
      <alignment/>
    </xf>
    <xf numFmtId="165" fontId="10" fillId="0" borderId="0" xfId="0" applyNumberFormat="1" applyFont="1" applyBorder="1" applyAlignment="1">
      <alignment/>
    </xf>
    <xf numFmtId="165" fontId="10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0" fontId="8" fillId="0" borderId="15" xfId="0" applyFont="1" applyBorder="1" applyAlignment="1">
      <alignment horizontal="center"/>
    </xf>
    <xf numFmtId="0" fontId="7" fillId="34" borderId="10" xfId="0" applyFont="1" applyFill="1" applyBorder="1" applyAlignment="1">
      <alignment horizontal="center" wrapText="1"/>
    </xf>
    <xf numFmtId="0" fontId="25" fillId="34" borderId="56" xfId="0" applyFont="1" applyFill="1" applyBorder="1" applyAlignment="1">
      <alignment horizontal="center" wrapText="1"/>
    </xf>
    <xf numFmtId="0" fontId="25" fillId="34" borderId="12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2" xfId="0" applyBorder="1" applyAlignment="1">
      <alignment wrapText="1"/>
    </xf>
    <xf numFmtId="0" fontId="12" fillId="0" borderId="56" xfId="0" applyFont="1" applyBorder="1" applyAlignment="1">
      <alignment/>
    </xf>
    <xf numFmtId="3" fontId="12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0" fillId="0" borderId="22" xfId="0" applyBorder="1" applyAlignment="1">
      <alignment wrapText="1"/>
    </xf>
    <xf numFmtId="0" fontId="12" fillId="0" borderId="72" xfId="0" applyFont="1" applyBorder="1" applyAlignment="1">
      <alignment/>
    </xf>
    <xf numFmtId="3" fontId="12" fillId="0" borderId="22" xfId="0" applyNumberFormat="1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10" xfId="0" applyFont="1" applyBorder="1" applyAlignment="1">
      <alignment vertical="center" wrapText="1"/>
    </xf>
    <xf numFmtId="3" fontId="12" fillId="0" borderId="21" xfId="0" applyNumberFormat="1" applyFont="1" applyBorder="1" applyAlignment="1">
      <alignment/>
    </xf>
    <xf numFmtId="3" fontId="12" fillId="0" borderId="72" xfId="0" applyNumberFormat="1" applyFont="1" applyBorder="1" applyAlignment="1">
      <alignment/>
    </xf>
    <xf numFmtId="0" fontId="12" fillId="0" borderId="0" xfId="0" applyFont="1" applyAlignment="1">
      <alignment wrapText="1"/>
    </xf>
    <xf numFmtId="0" fontId="12" fillId="0" borderId="14" xfId="0" applyFont="1" applyBorder="1" applyAlignment="1">
      <alignment vertical="center" wrapText="1"/>
    </xf>
    <xf numFmtId="0" fontId="12" fillId="0" borderId="13" xfId="0" applyFont="1" applyBorder="1" applyAlignment="1">
      <alignment/>
    </xf>
    <xf numFmtId="0" fontId="12" fillId="0" borderId="6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0" fontId="12" fillId="0" borderId="16" xfId="0" applyFont="1" applyBorder="1" applyAlignment="1">
      <alignment wrapText="1"/>
    </xf>
    <xf numFmtId="3" fontId="12" fillId="0" borderId="13" xfId="0" applyNumberFormat="1" applyFont="1" applyBorder="1" applyAlignment="1">
      <alignment/>
    </xf>
    <xf numFmtId="0" fontId="12" fillId="0" borderId="12" xfId="0" applyFont="1" applyBorder="1" applyAlignment="1">
      <alignment wrapText="1"/>
    </xf>
    <xf numFmtId="0" fontId="12" fillId="0" borderId="56" xfId="0" applyFont="1" applyBorder="1" applyAlignment="1">
      <alignment wrapText="1"/>
    </xf>
    <xf numFmtId="0" fontId="12" fillId="0" borderId="12" xfId="0" applyFont="1" applyBorder="1" applyAlignment="1">
      <alignment vertical="center" wrapText="1"/>
    </xf>
    <xf numFmtId="0" fontId="12" fillId="0" borderId="22" xfId="0" applyFont="1" applyBorder="1" applyAlignment="1">
      <alignment wrapText="1"/>
    </xf>
    <xf numFmtId="0" fontId="12" fillId="0" borderId="22" xfId="0" applyFont="1" applyBorder="1" applyAlignment="1">
      <alignment vertical="center" wrapText="1"/>
    </xf>
    <xf numFmtId="0" fontId="0" fillId="0" borderId="22" xfId="0" applyFont="1" applyBorder="1" applyAlignment="1">
      <alignment/>
    </xf>
    <xf numFmtId="0" fontId="12" fillId="0" borderId="22" xfId="0" applyFont="1" applyFill="1" applyBorder="1" applyAlignment="1">
      <alignment vertical="center" wrapText="1"/>
    </xf>
    <xf numFmtId="0" fontId="12" fillId="0" borderId="21" xfId="0" applyFont="1" applyBorder="1" applyAlignment="1">
      <alignment/>
    </xf>
    <xf numFmtId="0" fontId="0" fillId="0" borderId="27" xfId="0" applyFont="1" applyBorder="1" applyAlignment="1">
      <alignment/>
    </xf>
    <xf numFmtId="0" fontId="91" fillId="0" borderId="27" xfId="0" applyFont="1" applyFill="1" applyBorder="1" applyAlignment="1">
      <alignment wrapText="1"/>
    </xf>
    <xf numFmtId="0" fontId="0" fillId="0" borderId="27" xfId="0" applyBorder="1" applyAlignment="1">
      <alignment/>
    </xf>
    <xf numFmtId="0" fontId="12" fillId="0" borderId="22" xfId="0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12" fillId="0" borderId="27" xfId="0" applyFont="1" applyFill="1" applyBorder="1" applyAlignment="1">
      <alignment wrapText="1"/>
    </xf>
    <xf numFmtId="0" fontId="12" fillId="0" borderId="27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3" xfId="0" applyFont="1" applyFill="1" applyBorder="1" applyAlignment="1">
      <alignment wrapText="1"/>
    </xf>
    <xf numFmtId="0" fontId="12" fillId="0" borderId="14" xfId="0" applyFont="1" applyBorder="1" applyAlignment="1">
      <alignment/>
    </xf>
    <xf numFmtId="0" fontId="21" fillId="0" borderId="12" xfId="0" applyFont="1" applyBorder="1" applyAlignment="1">
      <alignment wrapText="1"/>
    </xf>
    <xf numFmtId="165" fontId="22" fillId="0" borderId="12" xfId="44" applyNumberFormat="1" applyFont="1" applyBorder="1" applyAlignment="1">
      <alignment/>
    </xf>
    <xf numFmtId="0" fontId="8" fillId="0" borderId="12" xfId="0" applyFont="1" applyBorder="1" applyAlignment="1">
      <alignment horizontal="left" wrapText="1"/>
    </xf>
    <xf numFmtId="165" fontId="0" fillId="0" borderId="12" xfId="42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2" xfId="0" applyFont="1" applyBorder="1" applyAlignment="1">
      <alignment horizontal="center"/>
    </xf>
    <xf numFmtId="165" fontId="23" fillId="0" borderId="17" xfId="0" applyNumberFormat="1" applyFont="1" applyBorder="1" applyAlignment="1">
      <alignment/>
    </xf>
    <xf numFmtId="165" fontId="23" fillId="0" borderId="12" xfId="42" applyNumberFormat="1" applyFont="1" applyBorder="1" applyAlignment="1">
      <alignment/>
    </xf>
    <xf numFmtId="43" fontId="0" fillId="0" borderId="13" xfId="42" applyFont="1" applyBorder="1" applyAlignment="1">
      <alignment horizontal="center"/>
    </xf>
    <xf numFmtId="165" fontId="10" fillId="0" borderId="14" xfId="0" applyNumberFormat="1" applyFont="1" applyBorder="1" applyAlignment="1">
      <alignment/>
    </xf>
    <xf numFmtId="9" fontId="24" fillId="0" borderId="13" xfId="61" applyFont="1" applyBorder="1" applyAlignment="1">
      <alignment/>
    </xf>
    <xf numFmtId="165" fontId="10" fillId="0" borderId="73" xfId="42" applyNumberFormat="1" applyFont="1" applyBorder="1" applyAlignment="1">
      <alignment/>
    </xf>
    <xf numFmtId="165" fontId="10" fillId="0" borderId="74" xfId="0" applyNumberFormat="1" applyFont="1" applyBorder="1" applyAlignment="1">
      <alignment/>
    </xf>
    <xf numFmtId="9" fontId="24" fillId="0" borderId="73" xfId="61" applyFont="1" applyBorder="1" applyAlignment="1">
      <alignment/>
    </xf>
    <xf numFmtId="165" fontId="10" fillId="0" borderId="10" xfId="0" applyNumberFormat="1" applyFont="1" applyBorder="1" applyAlignment="1">
      <alignment/>
    </xf>
    <xf numFmtId="165" fontId="19" fillId="0" borderId="75" xfId="42" applyNumberFormat="1" applyFont="1" applyBorder="1" applyAlignment="1">
      <alignment/>
    </xf>
    <xf numFmtId="165" fontId="10" fillId="0" borderId="73" xfId="0" applyNumberFormat="1" applyFont="1" applyBorder="1" applyAlignment="1">
      <alignment/>
    </xf>
    <xf numFmtId="165" fontId="20" fillId="0" borderId="75" xfId="42" applyNumberFormat="1" applyFont="1" applyBorder="1" applyAlignment="1">
      <alignment/>
    </xf>
    <xf numFmtId="165" fontId="20" fillId="0" borderId="73" xfId="42" applyNumberFormat="1" applyFont="1" applyBorder="1" applyAlignment="1">
      <alignment/>
    </xf>
    <xf numFmtId="165" fontId="20" fillId="0" borderId="73" xfId="0" applyNumberFormat="1" applyFont="1" applyBorder="1" applyAlignment="1">
      <alignment/>
    </xf>
    <xf numFmtId="0" fontId="92" fillId="0" borderId="0" xfId="0" applyFont="1" applyAlignment="1">
      <alignment/>
    </xf>
    <xf numFmtId="165" fontId="92" fillId="0" borderId="12" xfId="42" applyNumberFormat="1" applyFont="1" applyBorder="1" applyAlignment="1">
      <alignment horizontal="right"/>
    </xf>
    <xf numFmtId="0" fontId="92" fillId="0" borderId="12" xfId="0" applyFont="1" applyBorder="1" applyAlignment="1">
      <alignment/>
    </xf>
    <xf numFmtId="43" fontId="92" fillId="0" borderId="12" xfId="42" applyFont="1" applyBorder="1" applyAlignment="1">
      <alignment/>
    </xf>
    <xf numFmtId="0" fontId="92" fillId="0" borderId="12" xfId="0" applyFont="1" applyBorder="1" applyAlignment="1">
      <alignment horizontal="right"/>
    </xf>
    <xf numFmtId="0" fontId="92" fillId="0" borderId="17" xfId="0" applyFont="1" applyBorder="1" applyAlignment="1">
      <alignment/>
    </xf>
    <xf numFmtId="165" fontId="92" fillId="0" borderId="17" xfId="0" applyNumberFormat="1" applyFont="1" applyBorder="1" applyAlignment="1">
      <alignment/>
    </xf>
    <xf numFmtId="0" fontId="0" fillId="0" borderId="30" xfId="0" applyBorder="1" applyAlignment="1">
      <alignment/>
    </xf>
    <xf numFmtId="0" fontId="93" fillId="0" borderId="12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67" xfId="0" applyFont="1" applyBorder="1" applyAlignment="1">
      <alignment/>
    </xf>
    <xf numFmtId="0" fontId="8" fillId="0" borderId="67" xfId="0" applyFont="1" applyBorder="1" applyAlignment="1">
      <alignment/>
    </xf>
    <xf numFmtId="0" fontId="21" fillId="0" borderId="0" xfId="0" applyFont="1" applyAlignment="1">
      <alignment horizontal="right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3" xfId="0" applyFont="1" applyBorder="1" applyAlignment="1">
      <alignment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8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165" fontId="8" fillId="0" borderId="0" xfId="42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0" fontId="31" fillId="0" borderId="1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72" xfId="0" applyFont="1" applyBorder="1" applyAlignment="1">
      <alignment/>
    </xf>
    <xf numFmtId="0" fontId="31" fillId="0" borderId="0" xfId="0" applyFont="1" applyAlignment="1">
      <alignment horizontal="right"/>
    </xf>
    <xf numFmtId="0" fontId="32" fillId="0" borderId="1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2" fillId="0" borderId="14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43" fontId="32" fillId="0" borderId="12" xfId="42" applyFont="1" applyBorder="1" applyAlignment="1">
      <alignment/>
    </xf>
    <xf numFmtId="43" fontId="32" fillId="0" borderId="12" xfId="0" applyNumberFormat="1" applyFont="1" applyBorder="1" applyAlignment="1">
      <alignment/>
    </xf>
    <xf numFmtId="0" fontId="32" fillId="33" borderId="14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43" fontId="94" fillId="0" borderId="12" xfId="42" applyFont="1" applyBorder="1" applyAlignment="1">
      <alignment/>
    </xf>
    <xf numFmtId="165" fontId="94" fillId="0" borderId="12" xfId="42" applyNumberFormat="1" applyFont="1" applyBorder="1" applyAlignment="1">
      <alignment/>
    </xf>
    <xf numFmtId="43" fontId="94" fillId="0" borderId="12" xfId="0" applyNumberFormat="1" applyFont="1" applyBorder="1" applyAlignment="1">
      <alignment/>
    </xf>
    <xf numFmtId="0" fontId="94" fillId="0" borderId="12" xfId="0" applyFont="1" applyBorder="1" applyAlignment="1">
      <alignment/>
    </xf>
    <xf numFmtId="0" fontId="94" fillId="0" borderId="0" xfId="0" applyFont="1" applyBorder="1" applyAlignment="1">
      <alignment/>
    </xf>
    <xf numFmtId="0" fontId="32" fillId="33" borderId="16" xfId="0" applyFont="1" applyFill="1" applyBorder="1" applyAlignment="1">
      <alignment/>
    </xf>
    <xf numFmtId="0" fontId="31" fillId="0" borderId="12" xfId="0" applyFont="1" applyBorder="1" applyAlignment="1">
      <alignment horizontal="left"/>
    </xf>
    <xf numFmtId="43" fontId="94" fillId="0" borderId="12" xfId="42" applyFont="1" applyBorder="1" applyAlignment="1">
      <alignment horizontal="center"/>
    </xf>
    <xf numFmtId="0" fontId="31" fillId="0" borderId="12" xfId="0" applyFont="1" applyBorder="1" applyAlignment="1">
      <alignment/>
    </xf>
    <xf numFmtId="43" fontId="32" fillId="0" borderId="12" xfId="0" applyNumberFormat="1" applyFont="1" applyBorder="1" applyAlignment="1">
      <alignment horizontal="right"/>
    </xf>
    <xf numFmtId="0" fontId="32" fillId="33" borderId="12" xfId="0" applyFont="1" applyFill="1" applyBorder="1" applyAlignment="1">
      <alignment/>
    </xf>
    <xf numFmtId="165" fontId="32" fillId="0" borderId="12" xfId="42" applyNumberFormat="1" applyFont="1" applyBorder="1" applyAlignment="1">
      <alignment/>
    </xf>
    <xf numFmtId="0" fontId="31" fillId="33" borderId="12" xfId="0" applyFont="1" applyFill="1" applyBorder="1" applyAlignment="1">
      <alignment/>
    </xf>
    <xf numFmtId="0" fontId="94" fillId="33" borderId="12" xfId="0" applyFont="1" applyFill="1" applyBorder="1" applyAlignment="1">
      <alignment/>
    </xf>
    <xf numFmtId="0" fontId="32" fillId="0" borderId="12" xfId="0" applyFont="1" applyBorder="1" applyAlignment="1">
      <alignment wrapText="1"/>
    </xf>
    <xf numFmtId="165" fontId="31" fillId="0" borderId="12" xfId="42" applyNumberFormat="1" applyFont="1" applyBorder="1" applyAlignment="1">
      <alignment/>
    </xf>
    <xf numFmtId="0" fontId="8" fillId="0" borderId="0" xfId="0" applyFont="1" applyAlignment="1">
      <alignment wrapText="1"/>
    </xf>
    <xf numFmtId="0" fontId="8" fillId="0" borderId="70" xfId="0" applyFont="1" applyBorder="1" applyAlignment="1">
      <alignment wrapText="1"/>
    </xf>
    <xf numFmtId="0" fontId="8" fillId="33" borderId="15" xfId="0" applyFont="1" applyFill="1" applyBorder="1" applyAlignment="1">
      <alignment wrapText="1"/>
    </xf>
    <xf numFmtId="165" fontId="8" fillId="0" borderId="12" xfId="44" applyNumberFormat="1" applyFont="1" applyBorder="1" applyAlignment="1">
      <alignment wrapText="1"/>
    </xf>
    <xf numFmtId="165" fontId="8" fillId="0" borderId="12" xfId="0" applyNumberFormat="1" applyFont="1" applyBorder="1" applyAlignment="1">
      <alignment wrapText="1"/>
    </xf>
    <xf numFmtId="165" fontId="8" fillId="0" borderId="0" xfId="0" applyNumberFormat="1" applyFont="1" applyAlignment="1">
      <alignment wrapText="1"/>
    </xf>
    <xf numFmtId="0" fontId="8" fillId="0" borderId="27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21" fillId="0" borderId="0" xfId="0" applyFont="1" applyAlignment="1">
      <alignment wrapText="1"/>
    </xf>
    <xf numFmtId="0" fontId="8" fillId="0" borderId="16" xfId="0" applyFont="1" applyBorder="1" applyAlignment="1">
      <alignment wrapText="1"/>
    </xf>
    <xf numFmtId="0" fontId="8" fillId="0" borderId="76" xfId="0" applyFont="1" applyBorder="1" applyAlignment="1">
      <alignment wrapText="1"/>
    </xf>
    <xf numFmtId="0" fontId="8" fillId="0" borderId="56" xfId="0" applyFont="1" applyBorder="1" applyAlignment="1">
      <alignment wrapText="1"/>
    </xf>
    <xf numFmtId="0" fontId="21" fillId="0" borderId="12" xfId="0" applyFont="1" applyBorder="1" applyAlignment="1">
      <alignment horizontal="left" wrapText="1"/>
    </xf>
    <xf numFmtId="165" fontId="95" fillId="0" borderId="12" xfId="42" applyNumberFormat="1" applyFont="1" applyBorder="1" applyAlignment="1">
      <alignment horizontal="center" wrapText="1"/>
    </xf>
    <xf numFmtId="165" fontId="8" fillId="0" borderId="12" xfId="42" applyNumberFormat="1" applyFont="1" applyBorder="1" applyAlignment="1">
      <alignment wrapText="1"/>
    </xf>
    <xf numFmtId="165" fontId="95" fillId="0" borderId="12" xfId="42" applyNumberFormat="1" applyFont="1" applyBorder="1" applyAlignment="1">
      <alignment wrapText="1"/>
    </xf>
    <xf numFmtId="165" fontId="95" fillId="0" borderId="12" xfId="0" applyNumberFormat="1" applyFont="1" applyBorder="1" applyAlignment="1">
      <alignment wrapText="1"/>
    </xf>
    <xf numFmtId="165" fontId="96" fillId="0" borderId="12" xfId="42" applyNumberFormat="1" applyFont="1" applyBorder="1" applyAlignment="1">
      <alignment wrapText="1"/>
    </xf>
    <xf numFmtId="165" fontId="97" fillId="0" borderId="12" xfId="42" applyNumberFormat="1" applyFont="1" applyBorder="1" applyAlignment="1">
      <alignment wrapText="1"/>
    </xf>
    <xf numFmtId="165" fontId="97" fillId="0" borderId="12" xfId="0" applyNumberFormat="1" applyFont="1" applyBorder="1" applyAlignment="1">
      <alignment wrapText="1"/>
    </xf>
    <xf numFmtId="0" fontId="97" fillId="0" borderId="12" xfId="0" applyFont="1" applyBorder="1" applyAlignment="1">
      <alignment wrapText="1"/>
    </xf>
    <xf numFmtId="165" fontId="98" fillId="0" borderId="12" xfId="42" applyNumberFormat="1" applyFont="1" applyBorder="1" applyAlignment="1">
      <alignment horizontal="right" wrapText="1"/>
    </xf>
    <xf numFmtId="165" fontId="96" fillId="0" borderId="12" xfId="42" applyNumberFormat="1" applyFont="1" applyBorder="1" applyAlignment="1">
      <alignment horizontal="right" wrapText="1"/>
    </xf>
    <xf numFmtId="165" fontId="96" fillId="0" borderId="12" xfId="0" applyNumberFormat="1" applyFont="1" applyBorder="1" applyAlignment="1">
      <alignment wrapText="1"/>
    </xf>
    <xf numFmtId="0" fontId="8" fillId="33" borderId="12" xfId="0" applyFont="1" applyFill="1" applyBorder="1" applyAlignment="1">
      <alignment wrapText="1"/>
    </xf>
    <xf numFmtId="165" fontId="8" fillId="33" borderId="12" xfId="42" applyNumberFormat="1" applyFont="1" applyFill="1" applyBorder="1" applyAlignment="1">
      <alignment wrapText="1"/>
    </xf>
    <xf numFmtId="165" fontId="8" fillId="33" borderId="12" xfId="0" applyNumberFormat="1" applyFont="1" applyFill="1" applyBorder="1" applyAlignment="1">
      <alignment wrapText="1"/>
    </xf>
    <xf numFmtId="165" fontId="96" fillId="0" borderId="12" xfId="44" applyNumberFormat="1" applyFont="1" applyFill="1" applyBorder="1" applyAlignment="1">
      <alignment wrapText="1"/>
    </xf>
    <xf numFmtId="165" fontId="96" fillId="0" borderId="12" xfId="44" applyNumberFormat="1" applyFont="1" applyBorder="1" applyAlignment="1">
      <alignment wrapText="1"/>
    </xf>
    <xf numFmtId="165" fontId="29" fillId="0" borderId="12" xfId="44" applyNumberFormat="1" applyFont="1" applyBorder="1" applyAlignment="1">
      <alignment wrapText="1"/>
    </xf>
    <xf numFmtId="165" fontId="29" fillId="0" borderId="12" xfId="0" applyNumberFormat="1" applyFont="1" applyBorder="1" applyAlignment="1">
      <alignment wrapText="1"/>
    </xf>
    <xf numFmtId="165" fontId="29" fillId="0" borderId="12" xfId="42" applyNumberFormat="1" applyFont="1" applyBorder="1" applyAlignment="1">
      <alignment wrapText="1"/>
    </xf>
    <xf numFmtId="165" fontId="21" fillId="0" borderId="12" xfId="44" applyNumberFormat="1" applyFont="1" applyBorder="1" applyAlignment="1">
      <alignment wrapText="1"/>
    </xf>
    <xf numFmtId="165" fontId="21" fillId="0" borderId="12" xfId="0" applyNumberFormat="1" applyFont="1" applyBorder="1" applyAlignment="1">
      <alignment wrapText="1"/>
    </xf>
    <xf numFmtId="165" fontId="8" fillId="35" borderId="12" xfId="44" applyNumberFormat="1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165" fontId="30" fillId="0" borderId="12" xfId="42" applyNumberFormat="1" applyFont="1" applyBorder="1" applyAlignment="1">
      <alignment wrapText="1"/>
    </xf>
    <xf numFmtId="165" fontId="30" fillId="0" borderId="12" xfId="0" applyNumberFormat="1" applyFont="1" applyBorder="1" applyAlignment="1">
      <alignment wrapText="1"/>
    </xf>
    <xf numFmtId="0" fontId="21" fillId="33" borderId="12" xfId="0" applyFont="1" applyFill="1" applyBorder="1" applyAlignment="1">
      <alignment wrapText="1"/>
    </xf>
    <xf numFmtId="165" fontId="96" fillId="33" borderId="12" xfId="44" applyNumberFormat="1" applyFont="1" applyFill="1" applyBorder="1" applyAlignment="1">
      <alignment wrapText="1"/>
    </xf>
    <xf numFmtId="165" fontId="96" fillId="33" borderId="12" xfId="0" applyNumberFormat="1" applyFont="1" applyFill="1" applyBorder="1" applyAlignment="1">
      <alignment wrapText="1"/>
    </xf>
    <xf numFmtId="165" fontId="96" fillId="0" borderId="12" xfId="44" applyNumberFormat="1" applyFont="1" applyFill="1" applyBorder="1" applyAlignment="1">
      <alignment vertical="top" wrapText="1"/>
    </xf>
    <xf numFmtId="165" fontId="96" fillId="0" borderId="12" xfId="44" applyNumberFormat="1" applyFont="1" applyBorder="1" applyAlignment="1">
      <alignment vertical="top" wrapText="1"/>
    </xf>
    <xf numFmtId="165" fontId="96" fillId="0" borderId="12" xfId="0" applyNumberFormat="1" applyFont="1" applyBorder="1" applyAlignment="1">
      <alignment vertical="top" wrapText="1"/>
    </xf>
    <xf numFmtId="165" fontId="96" fillId="0" borderId="12" xfId="42" applyNumberFormat="1" applyFont="1" applyBorder="1" applyAlignment="1">
      <alignment vertical="top" wrapText="1"/>
    </xf>
    <xf numFmtId="165" fontId="97" fillId="0" borderId="12" xfId="42" applyNumberFormat="1" applyFont="1" applyBorder="1" applyAlignment="1">
      <alignment vertical="top" wrapText="1"/>
    </xf>
    <xf numFmtId="165" fontId="97" fillId="0" borderId="12" xfId="0" applyNumberFormat="1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56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 quotePrefix="1">
      <alignment horizontal="center" wrapText="1"/>
    </xf>
    <xf numFmtId="0" fontId="13" fillId="0" borderId="12" xfId="0" applyFont="1" applyBorder="1" applyAlignment="1">
      <alignment horizontal="left"/>
    </xf>
    <xf numFmtId="0" fontId="0" fillId="0" borderId="56" xfId="0" applyBorder="1" applyAlignment="1" quotePrefix="1">
      <alignment horizontal="center" wrapText="1"/>
    </xf>
    <xf numFmtId="0" fontId="11" fillId="0" borderId="12" xfId="0" applyFont="1" applyBorder="1" applyAlignment="1">
      <alignment horizontal="left" wrapText="1"/>
    </xf>
    <xf numFmtId="0" fontId="21" fillId="0" borderId="30" xfId="0" applyFont="1" applyFill="1" applyBorder="1" applyAlignment="1">
      <alignment wrapText="1"/>
    </xf>
    <xf numFmtId="0" fontId="34" fillId="0" borderId="0" xfId="0" applyFont="1" applyAlignment="1">
      <alignment/>
    </xf>
    <xf numFmtId="0" fontId="21" fillId="35" borderId="12" xfId="0" applyFont="1" applyFill="1" applyBorder="1" applyAlignment="1">
      <alignment horizontal="left" wrapText="1"/>
    </xf>
    <xf numFmtId="0" fontId="11" fillId="35" borderId="30" xfId="0" applyFont="1" applyFill="1" applyBorder="1" applyAlignment="1">
      <alignment horizontal="left" wrapText="1"/>
    </xf>
    <xf numFmtId="0" fontId="13" fillId="0" borderId="30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3" fillId="0" borderId="31" xfId="0" applyFont="1" applyBorder="1" applyAlignment="1">
      <alignment horizontal="left" wrapText="1"/>
    </xf>
    <xf numFmtId="0" fontId="11" fillId="0" borderId="30" xfId="0" applyFont="1" applyBorder="1" applyAlignment="1">
      <alignment horizontal="left" wrapText="1"/>
    </xf>
    <xf numFmtId="0" fontId="9" fillId="0" borderId="12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 wrapText="1"/>
    </xf>
    <xf numFmtId="0" fontId="6" fillId="35" borderId="12" xfId="0" applyFont="1" applyFill="1" applyBorder="1" applyAlignment="1">
      <alignment horizontal="left" wrapText="1"/>
    </xf>
    <xf numFmtId="0" fontId="6" fillId="0" borderId="12" xfId="0" applyFont="1" applyBorder="1" applyAlignment="1">
      <alignment/>
    </xf>
    <xf numFmtId="0" fontId="22" fillId="0" borderId="12" xfId="0" applyFont="1" applyBorder="1" applyAlignment="1">
      <alignment horizontal="left" wrapText="1"/>
    </xf>
    <xf numFmtId="43" fontId="22" fillId="0" borderId="12" xfId="44" applyFont="1" applyBorder="1" applyAlignment="1">
      <alignment horizontal="left" wrapText="1"/>
    </xf>
    <xf numFmtId="0" fontId="22" fillId="0" borderId="0" xfId="0" applyFont="1" applyAlignment="1">
      <alignment/>
    </xf>
    <xf numFmtId="0" fontId="6" fillId="0" borderId="0" xfId="0" applyFont="1" applyAlignment="1">
      <alignment/>
    </xf>
    <xf numFmtId="0" fontId="22" fillId="0" borderId="0" xfId="0" applyFont="1" applyAlignment="1">
      <alignment wrapText="1"/>
    </xf>
    <xf numFmtId="0" fontId="6" fillId="0" borderId="67" xfId="0" applyFont="1" applyBorder="1" applyAlignment="1">
      <alignment/>
    </xf>
    <xf numFmtId="0" fontId="22" fillId="0" borderId="67" xfId="0" applyFont="1" applyBorder="1" applyAlignment="1">
      <alignment/>
    </xf>
    <xf numFmtId="0" fontId="22" fillId="0" borderId="67" xfId="0" applyFont="1" applyBorder="1" applyAlignment="1">
      <alignment wrapText="1"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 wrapText="1"/>
    </xf>
    <xf numFmtId="0" fontId="22" fillId="0" borderId="72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wrapText="1"/>
    </xf>
    <xf numFmtId="0" fontId="22" fillId="0" borderId="16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36" fillId="0" borderId="12" xfId="0" applyFont="1" applyBorder="1" applyAlignment="1">
      <alignment horizontal="center"/>
    </xf>
    <xf numFmtId="0" fontId="22" fillId="0" borderId="13" xfId="0" applyFont="1" applyBorder="1" applyAlignment="1">
      <alignment/>
    </xf>
    <xf numFmtId="165" fontId="22" fillId="0" borderId="12" xfId="42" applyNumberFormat="1" applyFont="1" applyBorder="1" applyAlignment="1">
      <alignment/>
    </xf>
    <xf numFmtId="165" fontId="22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165" fontId="6" fillId="0" borderId="12" xfId="42" applyNumberFormat="1" applyFont="1" applyBorder="1" applyAlignment="1">
      <alignment horizontal="right"/>
    </xf>
    <xf numFmtId="165" fontId="6" fillId="0" borderId="12" xfId="0" applyNumberFormat="1" applyFont="1" applyBorder="1" applyAlignment="1">
      <alignment/>
    </xf>
    <xf numFmtId="165" fontId="6" fillId="0" borderId="12" xfId="42" applyNumberFormat="1" applyFont="1" applyBorder="1" applyAlignment="1">
      <alignment/>
    </xf>
    <xf numFmtId="0" fontId="22" fillId="0" borderId="76" xfId="0" applyFont="1" applyBorder="1" applyAlignment="1">
      <alignment/>
    </xf>
    <xf numFmtId="0" fontId="22" fillId="0" borderId="70" xfId="0" applyFont="1" applyBorder="1" applyAlignment="1">
      <alignment/>
    </xf>
    <xf numFmtId="0" fontId="22" fillId="33" borderId="12" xfId="0" applyFont="1" applyFill="1" applyBorder="1" applyAlignment="1">
      <alignment/>
    </xf>
    <xf numFmtId="165" fontId="22" fillId="33" borderId="12" xfId="42" applyNumberFormat="1" applyFont="1" applyFill="1" applyBorder="1" applyAlignment="1">
      <alignment/>
    </xf>
    <xf numFmtId="165" fontId="22" fillId="33" borderId="12" xfId="0" applyNumberFormat="1" applyFont="1" applyFill="1" applyBorder="1" applyAlignment="1">
      <alignment/>
    </xf>
    <xf numFmtId="0" fontId="22" fillId="33" borderId="12" xfId="0" applyFont="1" applyFill="1" applyBorder="1" applyAlignment="1">
      <alignment wrapText="1"/>
    </xf>
    <xf numFmtId="0" fontId="22" fillId="33" borderId="15" xfId="0" applyFont="1" applyFill="1" applyBorder="1" applyAlignment="1">
      <alignment/>
    </xf>
    <xf numFmtId="0" fontId="22" fillId="0" borderId="56" xfId="0" applyFont="1" applyBorder="1" applyAlignment="1">
      <alignment/>
    </xf>
    <xf numFmtId="165" fontId="22" fillId="0" borderId="12" xfId="44" applyNumberFormat="1" applyFont="1" applyFill="1" applyBorder="1" applyAlignment="1">
      <alignment/>
    </xf>
    <xf numFmtId="165" fontId="6" fillId="0" borderId="12" xfId="44" applyNumberFormat="1" applyFont="1" applyBorder="1" applyAlignment="1">
      <alignment/>
    </xf>
    <xf numFmtId="0" fontId="22" fillId="0" borderId="12" xfId="0" applyFont="1" applyBorder="1" applyAlignment="1" quotePrefix="1">
      <alignment horizontal="center" wrapText="1"/>
    </xf>
    <xf numFmtId="0" fontId="6" fillId="33" borderId="12" xfId="0" applyFont="1" applyFill="1" applyBorder="1" applyAlignment="1">
      <alignment/>
    </xf>
    <xf numFmtId="165" fontId="22" fillId="33" borderId="12" xfId="44" applyNumberFormat="1" applyFont="1" applyFill="1" applyBorder="1" applyAlignment="1">
      <alignment/>
    </xf>
    <xf numFmtId="165" fontId="99" fillId="33" borderId="12" xfId="0" applyNumberFormat="1" applyFont="1" applyFill="1" applyBorder="1" applyAlignment="1">
      <alignment/>
    </xf>
    <xf numFmtId="0" fontId="22" fillId="0" borderId="72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6" fillId="0" borderId="12" xfId="0" applyFont="1" applyBorder="1" applyAlignment="1">
      <alignment horizontal="left" wrapText="1"/>
    </xf>
    <xf numFmtId="0" fontId="6" fillId="0" borderId="12" xfId="0" applyFont="1" applyFill="1" applyBorder="1" applyAlignment="1">
      <alignment wrapText="1"/>
    </xf>
    <xf numFmtId="165" fontId="22" fillId="35" borderId="12" xfId="44" applyNumberFormat="1" applyFont="1" applyFill="1" applyBorder="1" applyAlignment="1">
      <alignment horizontal="left" wrapText="1"/>
    </xf>
    <xf numFmtId="0" fontId="22" fillId="0" borderId="12" xfId="0" applyFont="1" applyFill="1" applyBorder="1" applyAlignment="1">
      <alignment wrapText="1"/>
    </xf>
    <xf numFmtId="0" fontId="6" fillId="35" borderId="56" xfId="0" applyFont="1" applyFill="1" applyBorder="1" applyAlignment="1">
      <alignment horizontal="left" wrapText="1"/>
    </xf>
    <xf numFmtId="0" fontId="31" fillId="0" borderId="1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6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2" fillId="0" borderId="72" xfId="0" applyFont="1" applyBorder="1" applyAlignment="1">
      <alignment wrapText="1"/>
    </xf>
    <xf numFmtId="0" fontId="32" fillId="0" borderId="15" xfId="0" applyFont="1" applyBorder="1" applyAlignment="1">
      <alignment wrapText="1"/>
    </xf>
    <xf numFmtId="0" fontId="32" fillId="0" borderId="16" xfId="0" applyFon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0" fontId="32" fillId="0" borderId="11" xfId="0" applyFont="1" applyBorder="1" applyAlignment="1">
      <alignment horizontal="center" wrapText="1"/>
    </xf>
    <xf numFmtId="0" fontId="32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77" xfId="0" applyBorder="1" applyAlignment="1">
      <alignment wrapText="1"/>
    </xf>
    <xf numFmtId="0" fontId="0" fillId="0" borderId="61" xfId="0" applyBorder="1" applyAlignment="1">
      <alignment wrapText="1"/>
    </xf>
    <xf numFmtId="0" fontId="0" fillId="0" borderId="68" xfId="0" applyBorder="1" applyAlignment="1">
      <alignment wrapText="1"/>
    </xf>
    <xf numFmtId="0" fontId="21" fillId="0" borderId="78" xfId="0" applyFont="1" applyBorder="1" applyAlignment="1">
      <alignment horizontal="center"/>
    </xf>
    <xf numFmtId="0" fontId="22" fillId="0" borderId="7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66" xfId="0" applyBorder="1" applyAlignment="1">
      <alignment wrapText="1"/>
    </xf>
    <xf numFmtId="0" fontId="0" fillId="0" borderId="23" xfId="0" applyFont="1" applyBorder="1" applyAlignment="1">
      <alignment horizontal="center" wrapText="1"/>
    </xf>
    <xf numFmtId="0" fontId="10" fillId="0" borderId="65" xfId="0" applyFont="1" applyBorder="1" applyAlignment="1">
      <alignment horizontal="center"/>
    </xf>
    <xf numFmtId="0" fontId="13" fillId="0" borderId="30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3" fillId="0" borderId="65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79" xfId="0" applyFont="1" applyBorder="1" applyAlignment="1">
      <alignment horizontal="left"/>
    </xf>
    <xf numFmtId="0" fontId="13" fillId="9" borderId="30" xfId="0" applyFont="1" applyFill="1" applyBorder="1" applyAlignment="1">
      <alignment horizontal="left"/>
    </xf>
    <xf numFmtId="0" fontId="13" fillId="9" borderId="25" xfId="0" applyFont="1" applyFill="1" applyBorder="1" applyAlignment="1">
      <alignment horizontal="left"/>
    </xf>
    <xf numFmtId="0" fontId="13" fillId="9" borderId="31" xfId="0" applyFont="1" applyFill="1" applyBorder="1" applyAlignment="1">
      <alignment horizontal="left"/>
    </xf>
    <xf numFmtId="0" fontId="13" fillId="37" borderId="25" xfId="0" applyFont="1" applyFill="1" applyBorder="1" applyAlignment="1">
      <alignment horizontal="left"/>
    </xf>
    <xf numFmtId="0" fontId="13" fillId="10" borderId="30" xfId="0" applyFont="1" applyFill="1" applyBorder="1" applyAlignment="1">
      <alignment horizontal="left"/>
    </xf>
    <xf numFmtId="0" fontId="13" fillId="10" borderId="25" xfId="0" applyFont="1" applyFill="1" applyBorder="1" applyAlignment="1">
      <alignment horizontal="left"/>
    </xf>
    <xf numFmtId="0" fontId="13" fillId="10" borderId="56" xfId="0" applyFont="1" applyFill="1" applyBorder="1" applyAlignment="1">
      <alignment horizontal="left"/>
    </xf>
    <xf numFmtId="0" fontId="13" fillId="2" borderId="30" xfId="0" applyFont="1" applyFill="1" applyBorder="1" applyAlignment="1">
      <alignment horizontal="left"/>
    </xf>
    <xf numFmtId="0" fontId="13" fillId="2" borderId="25" xfId="0" applyFont="1" applyFill="1" applyBorder="1" applyAlignment="1">
      <alignment horizontal="left"/>
    </xf>
    <xf numFmtId="0" fontId="13" fillId="2" borderId="31" xfId="0" applyFont="1" applyFill="1" applyBorder="1" applyAlignment="1">
      <alignment horizontal="left"/>
    </xf>
    <xf numFmtId="0" fontId="11" fillId="0" borderId="78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7" xfId="0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10" borderId="29" xfId="0" applyFont="1" applyFill="1" applyBorder="1" applyAlignment="1">
      <alignment horizontal="center"/>
    </xf>
    <xf numFmtId="0" fontId="11" fillId="10" borderId="25" xfId="0" applyFont="1" applyFill="1" applyBorder="1" applyAlignment="1">
      <alignment horizontal="center"/>
    </xf>
    <xf numFmtId="0" fontId="11" fillId="10" borderId="31" xfId="0" applyFont="1" applyFill="1" applyBorder="1" applyAlignment="1">
      <alignment horizontal="center"/>
    </xf>
    <xf numFmtId="0" fontId="13" fillId="0" borderId="34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13" fillId="0" borderId="53" xfId="0" applyFont="1" applyBorder="1" applyAlignment="1">
      <alignment vertical="center"/>
    </xf>
    <xf numFmtId="0" fontId="13" fillId="0" borderId="80" xfId="0" applyFont="1" applyBorder="1" applyAlignment="1">
      <alignment wrapText="1"/>
    </xf>
    <xf numFmtId="0" fontId="0" fillId="0" borderId="81" xfId="0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4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62"/>
  <sheetViews>
    <sheetView tabSelected="1" zoomScalePageLayoutView="0" workbookViewId="0" topLeftCell="A1">
      <selection activeCell="C70" sqref="C70"/>
    </sheetView>
  </sheetViews>
  <sheetFormatPr defaultColWidth="8.8515625" defaultRowHeight="12.75"/>
  <cols>
    <col min="1" max="2" width="8.8515625" style="463" customWidth="1"/>
    <col min="3" max="3" width="69.28125" style="463" bestFit="1" customWidth="1"/>
    <col min="4" max="4" width="22.57421875" style="463" customWidth="1"/>
    <col min="5" max="5" width="27.00390625" style="463" customWidth="1"/>
    <col min="6" max="6" width="4.8515625" style="463" customWidth="1"/>
    <col min="7" max="8" width="27.00390625" style="463" customWidth="1"/>
    <col min="9" max="16384" width="8.8515625" style="463" customWidth="1"/>
  </cols>
  <sheetData>
    <row r="3" spans="3:8" ht="15">
      <c r="C3" s="464"/>
      <c r="D3" s="465"/>
      <c r="E3" s="465"/>
      <c r="F3" s="465"/>
      <c r="G3" s="465"/>
      <c r="H3" s="465"/>
    </row>
    <row r="4" spans="3:8" ht="15">
      <c r="C4" s="464"/>
      <c r="D4" s="465"/>
      <c r="E4" s="465"/>
      <c r="F4" s="465"/>
      <c r="G4" s="465"/>
      <c r="H4" s="465"/>
    </row>
    <row r="5" spans="3:8" ht="14.25">
      <c r="C5" s="466"/>
      <c r="D5" s="467"/>
      <c r="E5" s="468"/>
      <c r="F5" s="465"/>
      <c r="G5" s="465"/>
      <c r="H5" s="465"/>
    </row>
    <row r="6" spans="2:8" ht="15">
      <c r="B6" s="469"/>
      <c r="C6" s="617"/>
      <c r="D6" s="618"/>
      <c r="E6" s="619"/>
      <c r="F6" s="462"/>
      <c r="G6" s="462"/>
      <c r="H6" s="462"/>
    </row>
    <row r="7" spans="3:8" ht="15">
      <c r="C7" s="617" t="s">
        <v>43</v>
      </c>
      <c r="D7" s="618"/>
      <c r="E7" s="619"/>
      <c r="F7" s="462"/>
      <c r="G7" s="462"/>
      <c r="H7" s="462"/>
    </row>
    <row r="8" spans="3:8" ht="15">
      <c r="C8" s="617" t="s">
        <v>432</v>
      </c>
      <c r="D8" s="618"/>
      <c r="E8" s="619"/>
      <c r="F8" s="462"/>
      <c r="G8" s="462"/>
      <c r="H8" s="462"/>
    </row>
    <row r="9" spans="3:8" ht="15">
      <c r="C9" s="617" t="s">
        <v>19</v>
      </c>
      <c r="D9" s="618"/>
      <c r="E9" s="619"/>
      <c r="F9" s="462"/>
      <c r="G9" s="462"/>
      <c r="H9" s="462"/>
    </row>
    <row r="10" spans="3:8" ht="15">
      <c r="C10" s="620" t="s">
        <v>323</v>
      </c>
      <c r="D10" s="621"/>
      <c r="E10" s="622"/>
      <c r="F10" s="462"/>
      <c r="G10" s="462"/>
      <c r="H10" s="462"/>
    </row>
    <row r="14" spans="3:8" ht="14.25">
      <c r="C14" s="470"/>
      <c r="D14" s="623" t="s">
        <v>435</v>
      </c>
      <c r="E14" s="626" t="s">
        <v>423</v>
      </c>
      <c r="F14" s="471"/>
      <c r="G14" s="472"/>
      <c r="H14" s="472"/>
    </row>
    <row r="15" spans="3:6" ht="14.25">
      <c r="C15" s="473"/>
      <c r="D15" s="624"/>
      <c r="E15" s="627"/>
      <c r="F15" s="471"/>
    </row>
    <row r="16" spans="3:6" ht="15">
      <c r="C16" s="461" t="s">
        <v>2</v>
      </c>
      <c r="D16" s="624"/>
      <c r="E16" s="627"/>
      <c r="F16" s="471"/>
    </row>
    <row r="17" spans="3:8" ht="14.25">
      <c r="C17" s="474"/>
      <c r="D17" s="624"/>
      <c r="E17" s="627"/>
      <c r="F17" s="475"/>
      <c r="G17" s="472"/>
      <c r="H17" s="472"/>
    </row>
    <row r="18" spans="3:6" ht="14.25">
      <c r="C18" s="476"/>
      <c r="D18" s="625"/>
      <c r="E18" s="628"/>
      <c r="F18" s="465"/>
    </row>
    <row r="19" spans="3:6" ht="15">
      <c r="C19" s="489" t="s">
        <v>3</v>
      </c>
      <c r="D19" s="490" t="s">
        <v>368</v>
      </c>
      <c r="E19" s="490" t="s">
        <v>368</v>
      </c>
      <c r="F19" s="465"/>
    </row>
    <row r="20" spans="3:6" ht="14.25">
      <c r="C20" s="478"/>
      <c r="D20" s="478"/>
      <c r="E20" s="478"/>
      <c r="F20" s="465"/>
    </row>
    <row r="21" spans="3:6" ht="14.25">
      <c r="C21" s="478" t="s">
        <v>30</v>
      </c>
      <c r="D21" s="479">
        <v>0</v>
      </c>
      <c r="E21" s="480">
        <f>D21</f>
        <v>0</v>
      </c>
      <c r="F21" s="465"/>
    </row>
    <row r="22" spans="3:6" ht="14.25">
      <c r="C22" s="478" t="s">
        <v>20</v>
      </c>
      <c r="D22" s="479">
        <v>0</v>
      </c>
      <c r="E22" s="480">
        <f>D22</f>
        <v>0</v>
      </c>
      <c r="F22" s="465"/>
    </row>
    <row r="23" spans="3:6" ht="14.25">
      <c r="C23" s="478" t="s">
        <v>31</v>
      </c>
      <c r="D23" s="479">
        <v>0</v>
      </c>
      <c r="E23" s="480">
        <f>D23</f>
        <v>0</v>
      </c>
      <c r="F23" s="465"/>
    </row>
    <row r="24" spans="3:6" ht="14.25">
      <c r="C24" s="478" t="s">
        <v>8</v>
      </c>
      <c r="D24" s="479">
        <v>0</v>
      </c>
      <c r="E24" s="480">
        <f>D24</f>
        <v>0</v>
      </c>
      <c r="F24" s="465"/>
    </row>
    <row r="25" spans="3:6" ht="15">
      <c r="C25" s="491" t="s">
        <v>0</v>
      </c>
      <c r="D25" s="492">
        <f>SUM(D21:D24)</f>
        <v>0</v>
      </c>
      <c r="E25" s="480">
        <f>D25</f>
        <v>0</v>
      </c>
      <c r="F25" s="465"/>
    </row>
    <row r="26" spans="3:6" ht="14.25">
      <c r="C26" s="493"/>
      <c r="D26" s="493"/>
      <c r="E26" s="493"/>
      <c r="F26" s="482"/>
    </row>
    <row r="27" spans="3:6" ht="15">
      <c r="C27" s="489" t="s">
        <v>4</v>
      </c>
      <c r="D27" s="483"/>
      <c r="E27" s="478"/>
      <c r="F27" s="465"/>
    </row>
    <row r="28" spans="3:6" ht="14.25">
      <c r="C28" s="478" t="s">
        <v>30</v>
      </c>
      <c r="D28" s="478"/>
      <c r="E28" s="478"/>
      <c r="F28" s="465"/>
    </row>
    <row r="29" spans="3:6" ht="14.25">
      <c r="C29" s="478" t="s">
        <v>20</v>
      </c>
      <c r="D29" s="484">
        <f>111595000/103.25</f>
        <v>1080823.2445520582</v>
      </c>
      <c r="E29" s="485">
        <f>D29</f>
        <v>1080823.2445520582</v>
      </c>
      <c r="F29" s="465"/>
    </row>
    <row r="30" spans="3:6" ht="14.25">
      <c r="C30" s="478" t="s">
        <v>31</v>
      </c>
      <c r="D30" s="484">
        <f>86512.75/103.25</f>
        <v>837.8958837772398</v>
      </c>
      <c r="E30" s="485">
        <f>D30</f>
        <v>837.8958837772398</v>
      </c>
      <c r="F30" s="465"/>
    </row>
    <row r="31" spans="3:6" ht="14.25">
      <c r="C31" s="478" t="s">
        <v>8</v>
      </c>
      <c r="D31" s="483">
        <v>0</v>
      </c>
      <c r="E31" s="485">
        <f>D31</f>
        <v>0</v>
      </c>
      <c r="F31" s="465"/>
    </row>
    <row r="32" spans="3:6" ht="15">
      <c r="C32" s="491" t="s">
        <v>5</v>
      </c>
      <c r="D32" s="494">
        <f>SUM(D28:D31)</f>
        <v>1081661.1404358353</v>
      </c>
      <c r="E32" s="480">
        <f>D32</f>
        <v>1081661.1404358353</v>
      </c>
      <c r="F32" s="465"/>
    </row>
    <row r="33" spans="3:6" ht="15">
      <c r="C33" s="495"/>
      <c r="D33" s="496"/>
      <c r="E33" s="496"/>
      <c r="F33" s="482"/>
    </row>
    <row r="34" spans="3:6" ht="15">
      <c r="C34" s="489" t="s">
        <v>32</v>
      </c>
      <c r="D34" s="486"/>
      <c r="E34" s="486"/>
      <c r="F34" s="465"/>
    </row>
    <row r="35" spans="3:6" ht="14.25">
      <c r="C35" s="478"/>
      <c r="D35" s="486"/>
      <c r="E35" s="486"/>
      <c r="F35" s="465"/>
    </row>
    <row r="36" spans="2:6" ht="14.25">
      <c r="B36" s="463">
        <v>1</v>
      </c>
      <c r="C36" s="478" t="str">
        <f>'Uses of Funds as per PIM KSH'!E20</f>
        <v>1.0 Set-up institutional framework for commencement of the ACE</v>
      </c>
      <c r="D36" s="484">
        <f>'Uses of Funds as per PIM USD'!F23</f>
        <v>80551.62227602905</v>
      </c>
      <c r="E36" s="484">
        <f aca="true" t="shared" si="0" ref="E36:E43">D36</f>
        <v>80551.62227602905</v>
      </c>
      <c r="F36" s="465"/>
    </row>
    <row r="37" spans="2:6" ht="14.25">
      <c r="B37" s="463">
        <v>2</v>
      </c>
      <c r="C37" s="478" t="str">
        <f>'Uses of Funds as per PIM KSH'!E21</f>
        <v>2.0. Strengthen education capacity excellence - quality and productivity</v>
      </c>
      <c r="D37" s="484">
        <f>'Uses of Funds as per PIM USD'!F24</f>
        <v>24233.97578692494</v>
      </c>
      <c r="E37" s="484">
        <f t="shared" si="0"/>
        <v>24233.97578692494</v>
      </c>
      <c r="F37" s="465"/>
    </row>
    <row r="38" spans="2:6" ht="14.25">
      <c r="B38" s="463">
        <v>3</v>
      </c>
      <c r="C38" s="478" t="str">
        <f>'Uses of Funds as per PIM KSH'!E22</f>
        <v>3.0 Education Capacity &amp; Development Impact</v>
      </c>
      <c r="D38" s="484">
        <f>'Uses of Funds as per PIM USD'!F25</f>
        <v>849.3946731234867</v>
      </c>
      <c r="E38" s="484">
        <f t="shared" si="0"/>
        <v>849.3946731234867</v>
      </c>
      <c r="F38" s="465"/>
    </row>
    <row r="39" spans="2:6" ht="14.25">
      <c r="B39" s="463">
        <v>4</v>
      </c>
      <c r="C39" s="478" t="str">
        <f>'Uses of Funds as per PIM KSH'!E23</f>
        <v>4.0 Strengthen Research Capacity excellence – quality and productivity</v>
      </c>
      <c r="D39" s="484">
        <f>'Uses of Funds as per PIM USD'!F26</f>
        <v>81769.9176755448</v>
      </c>
      <c r="E39" s="484">
        <f t="shared" si="0"/>
        <v>81769.9176755448</v>
      </c>
      <c r="F39" s="465"/>
    </row>
    <row r="40" spans="2:6" ht="42.75">
      <c r="B40" s="463">
        <v>5</v>
      </c>
      <c r="C40" s="497" t="str">
        <f>'Uses of Funds as per PIM KSH'!E24</f>
        <v>5.0 Strengthen education and research capacity (through increased financial sustainability) and demonstration of value to students and partners</v>
      </c>
      <c r="D40" s="484">
        <f>'Uses of Funds as per PIM USD'!F27</f>
        <v>0</v>
      </c>
      <c r="E40" s="484">
        <f t="shared" si="0"/>
        <v>0</v>
      </c>
      <c r="F40" s="465"/>
    </row>
    <row r="41" spans="2:6" ht="14.25">
      <c r="B41" s="463">
        <v>6</v>
      </c>
      <c r="C41" s="478" t="str">
        <f>'Uses of Funds as per PIM KSH'!E25</f>
        <v>6.0 Observation of best practices in ACE financial operation</v>
      </c>
      <c r="D41" s="484">
        <f>'Uses of Funds as per PIM USD'!F28</f>
        <v>0</v>
      </c>
      <c r="E41" s="484">
        <f t="shared" si="0"/>
        <v>0</v>
      </c>
      <c r="F41" s="465"/>
    </row>
    <row r="42" spans="2:6" ht="14.25">
      <c r="B42" s="463">
        <v>7</v>
      </c>
      <c r="C42" s="478" t="str">
        <f>'Uses of Funds as per PIM KSH'!E26</f>
        <v>7.0 Observation of best practices in ACE procurement operation</v>
      </c>
      <c r="D42" s="484">
        <f>'Uses of Funds as per PIM USD'!F29</f>
        <v>0</v>
      </c>
      <c r="E42" s="484">
        <f t="shared" si="0"/>
        <v>0</v>
      </c>
      <c r="F42" s="465"/>
    </row>
    <row r="43" spans="3:6" ht="15">
      <c r="C43" s="491" t="s">
        <v>13</v>
      </c>
      <c r="D43" s="484">
        <f>SUM(D36:D42)</f>
        <v>187404.9104116223</v>
      </c>
      <c r="E43" s="484">
        <f t="shared" si="0"/>
        <v>187404.9104116223</v>
      </c>
      <c r="F43" s="465"/>
    </row>
    <row r="44" spans="3:6" ht="15">
      <c r="C44" s="491" t="s">
        <v>12</v>
      </c>
      <c r="D44" s="498">
        <f>D32-D43</f>
        <v>894256.2300242131</v>
      </c>
      <c r="E44" s="498">
        <f>E32-E43</f>
        <v>894256.2300242131</v>
      </c>
      <c r="F44" s="465"/>
    </row>
    <row r="45" spans="3:6" ht="14.25">
      <c r="C45" s="478"/>
      <c r="D45" s="484"/>
      <c r="E45" s="484"/>
      <c r="F45" s="465"/>
    </row>
    <row r="46" spans="3:6" ht="14.25">
      <c r="C46" s="478" t="s">
        <v>30</v>
      </c>
      <c r="D46" s="484">
        <f>D21+D28</f>
        <v>0</v>
      </c>
      <c r="E46" s="484"/>
      <c r="F46" s="465"/>
    </row>
    <row r="47" spans="3:6" ht="14.25">
      <c r="C47" s="478" t="s">
        <v>20</v>
      </c>
      <c r="D47" s="484">
        <f>D22+D29-D43</f>
        <v>893418.3341404359</v>
      </c>
      <c r="E47" s="484">
        <f>D47</f>
        <v>893418.3341404359</v>
      </c>
      <c r="F47" s="465"/>
    </row>
    <row r="48" spans="3:6" ht="14.25">
      <c r="C48" s="478" t="s">
        <v>31</v>
      </c>
      <c r="D48" s="484">
        <f>D23+D30</f>
        <v>837.8958837772398</v>
      </c>
      <c r="E48" s="484">
        <f>D48</f>
        <v>837.8958837772398</v>
      </c>
      <c r="F48" s="465"/>
    </row>
    <row r="49" spans="3:6" ht="14.25">
      <c r="C49" s="478" t="s">
        <v>8</v>
      </c>
      <c r="D49" s="484">
        <f>-D24+D31</f>
        <v>0</v>
      </c>
      <c r="E49" s="484"/>
      <c r="F49" s="465"/>
    </row>
    <row r="50" spans="3:6" ht="15">
      <c r="C50" s="491" t="s">
        <v>6</v>
      </c>
      <c r="D50" s="498">
        <f>D47+D48+D49</f>
        <v>894256.2300242132</v>
      </c>
      <c r="E50" s="498">
        <f>D50</f>
        <v>894256.2300242132</v>
      </c>
      <c r="F50" s="465"/>
    </row>
    <row r="51" spans="3:6" ht="14.25">
      <c r="C51" s="477"/>
      <c r="D51" s="465"/>
      <c r="E51" s="487"/>
      <c r="F51" s="465"/>
    </row>
    <row r="52" spans="3:6" ht="14.25">
      <c r="C52" s="481"/>
      <c r="D52" s="488"/>
      <c r="E52" s="488"/>
      <c r="F52" s="482"/>
    </row>
    <row r="55" ht="15">
      <c r="C55" s="40" t="s">
        <v>448</v>
      </c>
    </row>
    <row r="56" ht="14.25">
      <c r="C56" s="437" t="s">
        <v>451</v>
      </c>
    </row>
    <row r="57" ht="15">
      <c r="C57" s="40"/>
    </row>
    <row r="58" ht="15">
      <c r="C58" s="40" t="s">
        <v>454</v>
      </c>
    </row>
    <row r="59" ht="15.75">
      <c r="C59" s="555" t="s">
        <v>450</v>
      </c>
    </row>
    <row r="60" ht="15">
      <c r="C60" s="40"/>
    </row>
    <row r="61" ht="15">
      <c r="C61" s="40" t="s">
        <v>453</v>
      </c>
    </row>
    <row r="62" ht="14.25">
      <c r="C62" s="437" t="s">
        <v>449</v>
      </c>
    </row>
  </sheetData>
  <sheetProtection/>
  <mergeCells count="7">
    <mergeCell ref="C6:E6"/>
    <mergeCell ref="C7:E7"/>
    <mergeCell ref="C8:E8"/>
    <mergeCell ref="C9:E9"/>
    <mergeCell ref="C10:E10"/>
    <mergeCell ref="D14:D18"/>
    <mergeCell ref="E14:E18"/>
  </mergeCells>
  <printOptions/>
  <pageMargins left="0.58" right="0.47" top="0.63" bottom="0.66" header="0.31" footer="0.38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63"/>
  <sheetViews>
    <sheetView zoomScale="145" zoomScaleNormal="145" zoomScalePageLayoutView="0" workbookViewId="0" topLeftCell="C40">
      <selection activeCell="C66" sqref="C66"/>
    </sheetView>
  </sheetViews>
  <sheetFormatPr defaultColWidth="9.140625" defaultRowHeight="12.75"/>
  <cols>
    <col min="3" max="3" width="59.8515625" style="0" customWidth="1"/>
    <col min="4" max="5" width="22.57421875" style="0" customWidth="1"/>
    <col min="6" max="6" width="4.8515625" style="0" customWidth="1"/>
    <col min="7" max="8" width="27.00390625" style="0" customWidth="1"/>
  </cols>
  <sheetData>
    <row r="3" spans="3:8" ht="15.75">
      <c r="C3" s="15"/>
      <c r="D3" s="4"/>
      <c r="E3" s="4"/>
      <c r="F3" s="4"/>
      <c r="G3" s="4"/>
      <c r="H3" s="4"/>
    </row>
    <row r="4" spans="3:8" ht="15.75">
      <c r="C4" s="15"/>
      <c r="D4" s="4"/>
      <c r="E4" s="4"/>
      <c r="F4" s="4"/>
      <c r="G4" s="4"/>
      <c r="H4" s="4"/>
    </row>
    <row r="5" spans="3:8" ht="12.75">
      <c r="C5" s="27"/>
      <c r="D5" s="28"/>
      <c r="E5" s="28"/>
      <c r="F5" s="4"/>
      <c r="G5" s="4"/>
      <c r="H5" s="4"/>
    </row>
    <row r="6" spans="2:8" ht="12.75">
      <c r="B6" s="22"/>
      <c r="C6" s="629"/>
      <c r="D6" s="630"/>
      <c r="E6" s="630"/>
      <c r="F6" s="410"/>
      <c r="G6" s="410"/>
      <c r="H6" s="410"/>
    </row>
    <row r="7" spans="3:8" ht="12.75">
      <c r="C7" s="629" t="s">
        <v>43</v>
      </c>
      <c r="D7" s="630"/>
      <c r="E7" s="630"/>
      <c r="F7" s="410"/>
      <c r="G7" s="410"/>
      <c r="H7" s="410"/>
    </row>
    <row r="8" spans="3:8" ht="15">
      <c r="C8" s="633" t="s">
        <v>432</v>
      </c>
      <c r="D8" s="634"/>
      <c r="E8" s="634"/>
      <c r="F8" s="30"/>
      <c r="G8" s="30"/>
      <c r="H8" s="30"/>
    </row>
    <row r="9" spans="3:8" ht="12.75">
      <c r="C9" s="629" t="s">
        <v>19</v>
      </c>
      <c r="D9" s="630"/>
      <c r="E9" s="630"/>
      <c r="F9" s="410"/>
      <c r="G9" s="410"/>
      <c r="H9" s="410"/>
    </row>
    <row r="10" spans="3:8" ht="12.75">
      <c r="C10" s="631" t="s">
        <v>323</v>
      </c>
      <c r="D10" s="632"/>
      <c r="E10" s="632"/>
      <c r="F10" s="410"/>
      <c r="G10" s="410"/>
      <c r="H10" s="410"/>
    </row>
    <row r="14" spans="3:8" ht="12.75">
      <c r="C14" s="2"/>
      <c r="D14" s="635" t="s">
        <v>425</v>
      </c>
      <c r="E14" s="638" t="s">
        <v>423</v>
      </c>
      <c r="F14" s="411"/>
      <c r="G14" s="1"/>
      <c r="H14" s="1"/>
    </row>
    <row r="15" spans="3:6" ht="12.75">
      <c r="C15" s="5"/>
      <c r="D15" s="636"/>
      <c r="E15" s="639"/>
      <c r="F15" s="411"/>
    </row>
    <row r="16" spans="3:6" ht="12.75">
      <c r="C16" s="17" t="s">
        <v>2</v>
      </c>
      <c r="D16" s="636"/>
      <c r="E16" s="639"/>
      <c r="F16" s="411"/>
    </row>
    <row r="17" spans="3:8" ht="12.75">
      <c r="C17" s="13"/>
      <c r="D17" s="636"/>
      <c r="E17" s="639"/>
      <c r="F17" s="14"/>
      <c r="G17" s="1"/>
      <c r="H17" s="1"/>
    </row>
    <row r="18" spans="3:6" ht="12.75">
      <c r="C18" s="9"/>
      <c r="D18" s="637"/>
      <c r="E18" s="640"/>
      <c r="F18" s="4"/>
    </row>
    <row r="19" spans="3:6" ht="12.75">
      <c r="C19" s="16" t="s">
        <v>3</v>
      </c>
      <c r="D19" s="416" t="s">
        <v>422</v>
      </c>
      <c r="E19" s="416" t="s">
        <v>422</v>
      </c>
      <c r="F19" s="4"/>
    </row>
    <row r="20" spans="3:6" ht="12.75">
      <c r="C20" s="3"/>
      <c r="D20" s="6"/>
      <c r="F20" s="4"/>
    </row>
    <row r="21" spans="3:6" ht="12.75">
      <c r="C21" s="24" t="s">
        <v>30</v>
      </c>
      <c r="D21" s="36">
        <v>0</v>
      </c>
      <c r="E21" s="36">
        <f>D21</f>
        <v>0</v>
      </c>
      <c r="F21" s="4"/>
    </row>
    <row r="22" spans="3:6" ht="12.75">
      <c r="C22" s="3" t="s">
        <v>20</v>
      </c>
      <c r="D22" s="37">
        <v>0</v>
      </c>
      <c r="E22" s="36">
        <f aca="true" t="shared" si="0" ref="E22:E32">D22</f>
        <v>0</v>
      </c>
      <c r="F22" s="4"/>
    </row>
    <row r="23" spans="3:6" ht="12.75">
      <c r="C23" s="3" t="s">
        <v>31</v>
      </c>
      <c r="D23" s="37">
        <v>0</v>
      </c>
      <c r="E23" s="36">
        <f t="shared" si="0"/>
        <v>0</v>
      </c>
      <c r="F23" s="4"/>
    </row>
    <row r="24" spans="3:6" ht="13.5" thickBot="1">
      <c r="C24" s="3" t="s">
        <v>8</v>
      </c>
      <c r="D24" s="37">
        <v>0</v>
      </c>
      <c r="E24" s="36">
        <f t="shared" si="0"/>
        <v>0</v>
      </c>
      <c r="F24" s="4"/>
    </row>
    <row r="25" spans="3:6" ht="13.5" thickBot="1">
      <c r="C25" s="19" t="s">
        <v>0</v>
      </c>
      <c r="D25" s="38">
        <f>SUM(D21:D24)</f>
        <v>0</v>
      </c>
      <c r="E25" s="36">
        <f t="shared" si="0"/>
        <v>0</v>
      </c>
      <c r="F25" s="4"/>
    </row>
    <row r="26" spans="3:6" ht="12.75">
      <c r="C26" s="10"/>
      <c r="D26" s="11"/>
      <c r="E26" s="11"/>
      <c r="F26" s="412"/>
    </row>
    <row r="27" spans="3:6" ht="12.75">
      <c r="C27" s="16" t="s">
        <v>4</v>
      </c>
      <c r="D27" s="36"/>
      <c r="E27" s="36"/>
      <c r="F27" s="4"/>
    </row>
    <row r="28" spans="3:6" ht="12.75">
      <c r="C28" s="24" t="s">
        <v>30</v>
      </c>
      <c r="D28" s="36">
        <v>0</v>
      </c>
      <c r="E28" s="36"/>
      <c r="F28" s="4"/>
    </row>
    <row r="29" spans="3:6" ht="12.75">
      <c r="C29" s="3" t="s">
        <v>20</v>
      </c>
      <c r="D29" s="36">
        <v>111595000</v>
      </c>
      <c r="E29" s="36">
        <f t="shared" si="0"/>
        <v>111595000</v>
      </c>
      <c r="F29" s="4"/>
    </row>
    <row r="30" spans="3:6" ht="12.75">
      <c r="C30" s="3" t="s">
        <v>31</v>
      </c>
      <c r="D30" s="37">
        <v>86512.75</v>
      </c>
      <c r="E30" s="36">
        <f t="shared" si="0"/>
        <v>86512.75</v>
      </c>
      <c r="F30" s="4"/>
    </row>
    <row r="31" spans="3:6" ht="13.5" thickBot="1">
      <c r="C31" s="3" t="s">
        <v>8</v>
      </c>
      <c r="D31" s="37">
        <v>0</v>
      </c>
      <c r="E31" s="36">
        <f t="shared" si="0"/>
        <v>0</v>
      </c>
      <c r="F31" s="4"/>
    </row>
    <row r="32" spans="3:6" ht="13.5" thickBot="1">
      <c r="C32" s="19" t="s">
        <v>5</v>
      </c>
      <c r="D32" s="39">
        <f>D28+D29+D30+D31</f>
        <v>111681512.75</v>
      </c>
      <c r="E32" s="36">
        <f t="shared" si="0"/>
        <v>111681512.75</v>
      </c>
      <c r="F32" s="4"/>
    </row>
    <row r="33" spans="3:6" ht="12.75">
      <c r="C33" s="20"/>
      <c r="D33" s="11"/>
      <c r="E33" s="11"/>
      <c r="F33" s="412"/>
    </row>
    <row r="34" spans="3:6" ht="12.75">
      <c r="C34" s="16" t="s">
        <v>32</v>
      </c>
      <c r="D34" s="6"/>
      <c r="E34" s="6"/>
      <c r="F34" s="4"/>
    </row>
    <row r="35" spans="3:6" ht="12.75">
      <c r="C35" s="3"/>
      <c r="D35" s="6"/>
      <c r="E35" s="6"/>
      <c r="F35" s="4"/>
    </row>
    <row r="36" spans="2:6" ht="12.75">
      <c r="B36">
        <v>1</v>
      </c>
      <c r="C36" s="24" t="str">
        <f>'Uses of Funds as per PIM KSH'!E20</f>
        <v>1.0 Set-up institutional framework for commencement of the ACE</v>
      </c>
      <c r="D36" s="36">
        <f>'Uses of Funds as per PIM KSH'!F20</f>
        <v>8316955</v>
      </c>
      <c r="E36" s="36">
        <f>D36</f>
        <v>8316955</v>
      </c>
      <c r="F36" s="4"/>
    </row>
    <row r="37" spans="2:6" ht="12.75">
      <c r="B37">
        <v>2</v>
      </c>
      <c r="C37" s="24" t="str">
        <f>'Uses of Funds as per PIM KSH'!E21</f>
        <v>2.0. Strengthen education capacity excellence - quality and productivity</v>
      </c>
      <c r="D37" s="36">
        <f>'Uses of Funds as per PIM KSH'!F21</f>
        <v>2502158</v>
      </c>
      <c r="E37" s="36">
        <f aca="true" t="shared" si="1" ref="E37:E45">D37</f>
        <v>2502158</v>
      </c>
      <c r="F37" s="4"/>
    </row>
    <row r="38" spans="2:6" ht="12.75">
      <c r="B38">
        <v>3</v>
      </c>
      <c r="C38" s="24" t="str">
        <f>'Uses of Funds as per PIM KSH'!E22</f>
        <v>3.0 Education Capacity &amp; Development Impact</v>
      </c>
      <c r="D38" s="36">
        <f>'Uses of Funds as per PIM KSH'!F22</f>
        <v>87700</v>
      </c>
      <c r="E38" s="36">
        <f t="shared" si="1"/>
        <v>87700</v>
      </c>
      <c r="F38" s="4"/>
    </row>
    <row r="39" spans="2:6" ht="12.75">
      <c r="B39">
        <v>4</v>
      </c>
      <c r="C39" s="24" t="str">
        <f>'Uses of Funds as per PIM KSH'!E23</f>
        <v>4.0 Strengthen Research Capacity excellence – quality and productivity</v>
      </c>
      <c r="D39" s="337">
        <f>'Uses of Funds as per PIM KSH'!F23</f>
        <v>8442744</v>
      </c>
      <c r="E39" s="36">
        <f t="shared" si="1"/>
        <v>8442744</v>
      </c>
      <c r="F39" s="4"/>
    </row>
    <row r="40" spans="2:6" ht="12.75">
      <c r="B40">
        <v>5</v>
      </c>
      <c r="C40" s="24" t="str">
        <f>'Uses of Funds as per PIM KSH'!E24</f>
        <v>5.0 Strengthen education and research capacity (through increased financial sustainability) and demonstration of value to students and partners</v>
      </c>
      <c r="D40" s="36">
        <f>'Uses of Funds as per PIM KSH'!F24</f>
        <v>0</v>
      </c>
      <c r="E40" s="36">
        <f t="shared" si="1"/>
        <v>0</v>
      </c>
      <c r="F40" s="4"/>
    </row>
    <row r="41" spans="2:6" ht="12.75">
      <c r="B41">
        <v>6</v>
      </c>
      <c r="C41" s="24" t="str">
        <f>'Uses of Funds as per PIM KSH'!E25</f>
        <v>6.0 Observation of best practices in ACE financial operation</v>
      </c>
      <c r="D41" s="36">
        <f>'Uses of Funds as per PIM KSH'!F25</f>
        <v>0</v>
      </c>
      <c r="E41" s="36">
        <f t="shared" si="1"/>
        <v>0</v>
      </c>
      <c r="F41" s="4"/>
    </row>
    <row r="42" spans="2:6" ht="13.5" thickBot="1">
      <c r="B42">
        <v>7</v>
      </c>
      <c r="C42" s="24" t="str">
        <f>'Uses of Funds as per PIM KSH'!E26</f>
        <v>7.0 Observation of best practices in ACE procurement operation</v>
      </c>
      <c r="D42" s="36">
        <f>'Uses of Funds as per PIM KSH'!F26</f>
        <v>0</v>
      </c>
      <c r="E42" s="36">
        <f t="shared" si="1"/>
        <v>0</v>
      </c>
      <c r="F42" s="4"/>
    </row>
    <row r="43" spans="4:6" ht="13.5" thickBot="1">
      <c r="D43" s="348">
        <v>4925</v>
      </c>
      <c r="E43" s="36">
        <f t="shared" si="1"/>
        <v>4925</v>
      </c>
      <c r="F43" s="4"/>
    </row>
    <row r="44" spans="3:6" ht="13.5" thickBot="1">
      <c r="C44" s="23" t="s">
        <v>13</v>
      </c>
      <c r="D44" s="347">
        <f>SUM(D36:D43)</f>
        <v>19354482</v>
      </c>
      <c r="E44" s="36">
        <f t="shared" si="1"/>
        <v>19354482</v>
      </c>
      <c r="F44" s="4"/>
    </row>
    <row r="45" spans="3:6" ht="13.5" thickBot="1">
      <c r="C45" s="19" t="s">
        <v>12</v>
      </c>
      <c r="D45" s="347">
        <f>D32-D44</f>
        <v>92327030.75</v>
      </c>
      <c r="E45" s="36">
        <f t="shared" si="1"/>
        <v>92327030.75</v>
      </c>
      <c r="F45" s="4"/>
    </row>
    <row r="46" spans="3:6" ht="12.75">
      <c r="C46" s="435"/>
      <c r="D46" s="6"/>
      <c r="E46" s="4"/>
      <c r="F46" s="4"/>
    </row>
    <row r="47" spans="3:6" ht="12.75">
      <c r="C47" s="24" t="s">
        <v>30</v>
      </c>
      <c r="D47" s="349">
        <f>D21+D28</f>
        <v>0</v>
      </c>
      <c r="E47" s="349">
        <f>D47</f>
        <v>0</v>
      </c>
      <c r="F47" s="4"/>
    </row>
    <row r="48" spans="3:6" ht="12.75">
      <c r="C48" s="3" t="s">
        <v>20</v>
      </c>
      <c r="D48" s="349">
        <f>D22+D29-D44</f>
        <v>92240518</v>
      </c>
      <c r="E48" s="349">
        <f>D48</f>
        <v>92240518</v>
      </c>
      <c r="F48" s="4"/>
    </row>
    <row r="49" spans="3:6" ht="12.75">
      <c r="C49" s="3" t="s">
        <v>31</v>
      </c>
      <c r="D49" s="349">
        <v>86512.75</v>
      </c>
      <c r="E49" s="349">
        <f>D49</f>
        <v>86512.75</v>
      </c>
      <c r="F49" s="4"/>
    </row>
    <row r="50" spans="3:6" ht="13.5" thickBot="1">
      <c r="C50" s="3" t="s">
        <v>8</v>
      </c>
      <c r="D50" s="337">
        <f>D24+D31</f>
        <v>0</v>
      </c>
      <c r="E50" s="349">
        <f>D50</f>
        <v>0</v>
      </c>
      <c r="F50" s="4"/>
    </row>
    <row r="51" spans="3:6" ht="13.5" thickBot="1">
      <c r="C51" s="19" t="s">
        <v>6</v>
      </c>
      <c r="D51" s="347">
        <f>D48+D49+D50</f>
        <v>92327030.75</v>
      </c>
      <c r="E51" s="349">
        <f>D51</f>
        <v>92327030.75</v>
      </c>
      <c r="F51" s="4"/>
    </row>
    <row r="52" spans="3:6" ht="12.75">
      <c r="C52" s="3"/>
      <c r="D52" s="6"/>
      <c r="E52" s="4"/>
      <c r="F52" s="4"/>
    </row>
    <row r="53" spans="3:6" ht="12.75">
      <c r="C53" s="10"/>
      <c r="D53" s="12"/>
      <c r="E53" s="12"/>
      <c r="F53" s="412"/>
    </row>
    <row r="55" ht="12.75">
      <c r="D55" t="s">
        <v>319</v>
      </c>
    </row>
    <row r="56" ht="15">
      <c r="C56" s="40" t="s">
        <v>448</v>
      </c>
    </row>
    <row r="57" ht="14.25">
      <c r="C57" s="437" t="s">
        <v>451</v>
      </c>
    </row>
    <row r="58" ht="15">
      <c r="C58" s="40"/>
    </row>
    <row r="59" ht="15">
      <c r="C59" s="40" t="s">
        <v>454</v>
      </c>
    </row>
    <row r="60" ht="15.75">
      <c r="C60" s="555" t="s">
        <v>461</v>
      </c>
    </row>
    <row r="61" ht="15">
      <c r="C61" s="40"/>
    </row>
    <row r="62" ht="15">
      <c r="C62" s="40" t="s">
        <v>453</v>
      </c>
    </row>
    <row r="63" ht="14.25">
      <c r="C63" s="437" t="s">
        <v>449</v>
      </c>
    </row>
  </sheetData>
  <sheetProtection/>
  <mergeCells count="7">
    <mergeCell ref="C6:E6"/>
    <mergeCell ref="C7:E7"/>
    <mergeCell ref="C9:E9"/>
    <mergeCell ref="C10:E10"/>
    <mergeCell ref="C8:E8"/>
    <mergeCell ref="D14:D18"/>
    <mergeCell ref="E14:E18"/>
  </mergeCells>
  <printOptions/>
  <pageMargins left="0.58" right="0.47" top="0.63" bottom="0.66" header="0.31" footer="0.38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3:O111"/>
  <sheetViews>
    <sheetView zoomScalePageLayoutView="0" workbookViewId="0" topLeftCell="B89">
      <selection activeCell="E12" sqref="E12:M12"/>
    </sheetView>
  </sheetViews>
  <sheetFormatPr defaultColWidth="8.8515625" defaultRowHeight="12.75"/>
  <cols>
    <col min="1" max="3" width="8.8515625" style="40" customWidth="1"/>
    <col min="4" max="4" width="2.421875" style="40" customWidth="1"/>
    <col min="5" max="5" width="53.7109375" style="40" customWidth="1"/>
    <col min="6" max="6" width="11.8515625" style="40" bestFit="1" customWidth="1"/>
    <col min="7" max="7" width="13.00390625" style="40" bestFit="1" customWidth="1"/>
    <col min="8" max="8" width="10.28125" style="40" bestFit="1" customWidth="1"/>
    <col min="9" max="9" width="9.7109375" style="40" customWidth="1"/>
    <col min="10" max="11" width="11.8515625" style="40" customWidth="1"/>
    <col min="12" max="12" width="39.28125" style="40" customWidth="1"/>
    <col min="13" max="13" width="30.8515625" style="40" customWidth="1"/>
    <col min="14" max="16384" width="8.8515625" style="40" customWidth="1"/>
  </cols>
  <sheetData>
    <row r="3" ht="15">
      <c r="E3" s="437"/>
    </row>
    <row r="4" spans="5:14" ht="15.75" thickBot="1">
      <c r="E4" s="438"/>
      <c r="F4" s="439"/>
      <c r="G4" s="439"/>
      <c r="H4" s="439"/>
      <c r="I4" s="439"/>
      <c r="J4" s="439"/>
      <c r="K4" s="439"/>
      <c r="L4" s="439"/>
      <c r="M4" s="439"/>
      <c r="N4" s="439"/>
    </row>
    <row r="8" spans="4:13" ht="15">
      <c r="D8" s="440"/>
      <c r="E8" s="644"/>
      <c r="F8" s="644"/>
      <c r="G8" s="644"/>
      <c r="H8" s="644"/>
      <c r="I8" s="644"/>
      <c r="J8" s="644"/>
      <c r="K8" s="644"/>
      <c r="L8" s="644"/>
      <c r="M8" s="644"/>
    </row>
    <row r="9" spans="5:13" ht="15">
      <c r="E9" s="644" t="s">
        <v>43</v>
      </c>
      <c r="F9" s="644"/>
      <c r="G9" s="644"/>
      <c r="H9" s="644"/>
      <c r="I9" s="644"/>
      <c r="J9" s="644"/>
      <c r="K9" s="644"/>
      <c r="L9" s="644"/>
      <c r="M9" s="644"/>
    </row>
    <row r="10" spans="5:13" ht="15">
      <c r="E10" s="644" t="s">
        <v>432</v>
      </c>
      <c r="F10" s="644"/>
      <c r="G10" s="644"/>
      <c r="H10" s="644"/>
      <c r="I10" s="644"/>
      <c r="J10" s="644"/>
      <c r="K10" s="644"/>
      <c r="L10" s="644"/>
      <c r="M10" s="644"/>
    </row>
    <row r="11" spans="5:13" ht="15">
      <c r="E11" s="644" t="s">
        <v>21</v>
      </c>
      <c r="F11" s="644"/>
      <c r="G11" s="644"/>
      <c r="H11" s="644"/>
      <c r="I11" s="644"/>
      <c r="J11" s="644"/>
      <c r="K11" s="644"/>
      <c r="L11" s="644"/>
      <c r="M11" s="644"/>
    </row>
    <row r="12" spans="5:13" ht="15">
      <c r="E12" s="644" t="s">
        <v>322</v>
      </c>
      <c r="F12" s="644"/>
      <c r="G12" s="644"/>
      <c r="H12" s="644"/>
      <c r="I12" s="644"/>
      <c r="J12" s="644"/>
      <c r="K12" s="644"/>
      <c r="L12" s="644"/>
      <c r="M12" s="644"/>
    </row>
    <row r="14" spans="5:13" ht="15">
      <c r="E14" s="441"/>
      <c r="I14" s="40" t="s">
        <v>434</v>
      </c>
      <c r="M14" s="437"/>
    </row>
    <row r="16" spans="5:14" ht="15">
      <c r="E16" s="442"/>
      <c r="F16" s="443"/>
      <c r="G16" s="443"/>
      <c r="H16" s="443"/>
      <c r="I16" s="443"/>
      <c r="J16" s="443"/>
      <c r="K16" s="444"/>
      <c r="L16" s="444"/>
      <c r="M16" s="444"/>
      <c r="N16" s="444"/>
    </row>
    <row r="17" spans="5:14" ht="15">
      <c r="E17" s="445"/>
      <c r="F17" s="641"/>
      <c r="G17" s="642"/>
      <c r="H17" s="643"/>
      <c r="I17" s="641"/>
      <c r="J17" s="642"/>
      <c r="K17" s="643"/>
      <c r="L17" s="364"/>
      <c r="M17" s="364"/>
      <c r="N17" s="364"/>
    </row>
    <row r="18" spans="5:14" ht="15">
      <c r="E18" s="447" t="s">
        <v>1</v>
      </c>
      <c r="F18" s="641" t="s">
        <v>321</v>
      </c>
      <c r="G18" s="642"/>
      <c r="H18" s="643"/>
      <c r="I18" s="641" t="s">
        <v>18</v>
      </c>
      <c r="J18" s="642"/>
      <c r="K18" s="643"/>
      <c r="L18" s="364" t="s">
        <v>15</v>
      </c>
      <c r="M18" s="364" t="s">
        <v>16</v>
      </c>
      <c r="N18" s="364" t="s">
        <v>10</v>
      </c>
    </row>
    <row r="19" spans="5:14" ht="15">
      <c r="E19" s="448"/>
      <c r="F19" s="448"/>
      <c r="G19" s="449"/>
      <c r="H19" s="450"/>
      <c r="I19" s="445"/>
      <c r="J19" s="446" t="s">
        <v>17</v>
      </c>
      <c r="K19" s="450"/>
      <c r="L19" s="364" t="s">
        <v>7</v>
      </c>
      <c r="M19" s="364" t="s">
        <v>9</v>
      </c>
      <c r="N19" s="364" t="s">
        <v>11</v>
      </c>
    </row>
    <row r="20" spans="5:14" ht="15">
      <c r="E20" s="451"/>
      <c r="F20" s="452" t="s">
        <v>424</v>
      </c>
      <c r="G20" s="452" t="s">
        <v>430</v>
      </c>
      <c r="H20" s="452" t="s">
        <v>431</v>
      </c>
      <c r="I20" s="452" t="s">
        <v>424</v>
      </c>
      <c r="J20" s="452" t="s">
        <v>430</v>
      </c>
      <c r="K20" s="452" t="s">
        <v>431</v>
      </c>
      <c r="L20" s="453"/>
      <c r="M20" s="453"/>
      <c r="N20" s="453"/>
    </row>
    <row r="21" spans="5:14" s="499" customFormat="1" ht="29.25">
      <c r="E21" s="511" t="s">
        <v>33</v>
      </c>
      <c r="F21" s="512" t="s">
        <v>368</v>
      </c>
      <c r="G21" s="512" t="s">
        <v>368</v>
      </c>
      <c r="H21" s="512" t="s">
        <v>368</v>
      </c>
      <c r="I21" s="512" t="s">
        <v>368</v>
      </c>
      <c r="J21" s="512" t="s">
        <v>368</v>
      </c>
      <c r="K21" s="512" t="s">
        <v>368</v>
      </c>
      <c r="L21" s="456"/>
      <c r="M21" s="508"/>
      <c r="N21" s="454"/>
    </row>
    <row r="22" spans="5:14" s="499" customFormat="1" ht="15">
      <c r="E22" s="511"/>
      <c r="F22" s="513"/>
      <c r="G22" s="514"/>
      <c r="H22" s="515"/>
      <c r="I22" s="456"/>
      <c r="J22" s="456"/>
      <c r="K22" s="456"/>
      <c r="L22" s="456"/>
      <c r="M22" s="508"/>
      <c r="N22" s="454"/>
    </row>
    <row r="23" spans="4:14" s="499" customFormat="1" ht="29.25">
      <c r="D23" s="499">
        <v>1</v>
      </c>
      <c r="E23" s="406" t="s">
        <v>325</v>
      </c>
      <c r="F23" s="516">
        <f>F48</f>
        <v>80551.62227602905</v>
      </c>
      <c r="G23" s="517">
        <f>G48</f>
        <v>221500</v>
      </c>
      <c r="H23" s="518">
        <f aca="true" t="shared" si="0" ref="H23:H29">G23-F23</f>
        <v>140948.37772397095</v>
      </c>
      <c r="I23" s="516">
        <f aca="true" t="shared" si="1" ref="I23:J29">F23</f>
        <v>80551.62227602905</v>
      </c>
      <c r="J23" s="517">
        <f t="shared" si="1"/>
        <v>221500</v>
      </c>
      <c r="K23" s="518">
        <f aca="true" t="shared" si="2" ref="K23:K38">H23</f>
        <v>140948.37772397095</v>
      </c>
      <c r="L23" s="456"/>
      <c r="M23" s="508"/>
      <c r="N23" s="454"/>
    </row>
    <row r="24" spans="4:14" s="499" customFormat="1" ht="29.25">
      <c r="D24" s="499">
        <v>2</v>
      </c>
      <c r="E24" s="406" t="s">
        <v>326</v>
      </c>
      <c r="F24" s="516">
        <f>F74</f>
        <v>24233.97578692494</v>
      </c>
      <c r="G24" s="517">
        <f>G74</f>
        <v>137350</v>
      </c>
      <c r="H24" s="518">
        <f t="shared" si="0"/>
        <v>113116.02421307506</v>
      </c>
      <c r="I24" s="516">
        <f t="shared" si="1"/>
        <v>24233.97578692494</v>
      </c>
      <c r="J24" s="517">
        <f t="shared" si="1"/>
        <v>137350</v>
      </c>
      <c r="K24" s="518">
        <f t="shared" si="2"/>
        <v>113116.02421307506</v>
      </c>
      <c r="L24" s="456"/>
      <c r="M24" s="508"/>
      <c r="N24" s="454"/>
    </row>
    <row r="25" spans="4:14" s="499" customFormat="1" ht="15">
      <c r="D25" s="499">
        <v>3</v>
      </c>
      <c r="E25" s="406" t="s">
        <v>328</v>
      </c>
      <c r="F25" s="516">
        <f>F80</f>
        <v>849.3946731234867</v>
      </c>
      <c r="G25" s="517">
        <f>G80</f>
        <v>5000</v>
      </c>
      <c r="H25" s="518">
        <f t="shared" si="0"/>
        <v>4150.605326876514</v>
      </c>
      <c r="I25" s="516">
        <f t="shared" si="1"/>
        <v>849.3946731234867</v>
      </c>
      <c r="J25" s="517">
        <f t="shared" si="1"/>
        <v>5000</v>
      </c>
      <c r="K25" s="518">
        <f t="shared" si="2"/>
        <v>4150.605326876514</v>
      </c>
      <c r="L25" s="456"/>
      <c r="M25" s="508"/>
      <c r="N25" s="454"/>
    </row>
    <row r="26" spans="4:14" s="499" customFormat="1" ht="29.25">
      <c r="D26" s="499">
        <v>4</v>
      </c>
      <c r="E26" s="406" t="s">
        <v>329</v>
      </c>
      <c r="F26" s="516">
        <f>F95</f>
        <v>81769.9176755448</v>
      </c>
      <c r="G26" s="517">
        <f>G95</f>
        <v>450356</v>
      </c>
      <c r="H26" s="518">
        <f t="shared" si="0"/>
        <v>368586.0823244552</v>
      </c>
      <c r="I26" s="516">
        <f t="shared" si="1"/>
        <v>81769.9176755448</v>
      </c>
      <c r="J26" s="517">
        <f t="shared" si="1"/>
        <v>450356</v>
      </c>
      <c r="K26" s="518">
        <f t="shared" si="2"/>
        <v>368586.0823244552</v>
      </c>
      <c r="L26" s="456"/>
      <c r="M26" s="508"/>
      <c r="N26" s="454"/>
    </row>
    <row r="27" spans="4:14" s="499" customFormat="1" ht="27.75" customHeight="1">
      <c r="D27" s="499">
        <v>5</v>
      </c>
      <c r="E27" s="406" t="s">
        <v>330</v>
      </c>
      <c r="F27" s="514">
        <v>0</v>
      </c>
      <c r="G27" s="517"/>
      <c r="H27" s="518">
        <f t="shared" si="0"/>
        <v>0</v>
      </c>
      <c r="I27" s="516">
        <f t="shared" si="1"/>
        <v>0</v>
      </c>
      <c r="J27" s="517">
        <f t="shared" si="1"/>
        <v>0</v>
      </c>
      <c r="K27" s="518">
        <f t="shared" si="2"/>
        <v>0</v>
      </c>
      <c r="L27" s="456"/>
      <c r="M27" s="508"/>
      <c r="N27" s="454"/>
    </row>
    <row r="28" spans="4:14" s="499" customFormat="1" ht="14.25" customHeight="1">
      <c r="D28" s="499">
        <v>6</v>
      </c>
      <c r="E28" s="406" t="s">
        <v>331</v>
      </c>
      <c r="F28" s="514">
        <v>0</v>
      </c>
      <c r="G28" s="517"/>
      <c r="H28" s="518">
        <f t="shared" si="0"/>
        <v>0</v>
      </c>
      <c r="I28" s="516">
        <f t="shared" si="1"/>
        <v>0</v>
      </c>
      <c r="J28" s="517">
        <f t="shared" si="1"/>
        <v>0</v>
      </c>
      <c r="K28" s="518">
        <f t="shared" si="2"/>
        <v>0</v>
      </c>
      <c r="L28" s="456"/>
      <c r="M28" s="508"/>
      <c r="N28" s="454"/>
    </row>
    <row r="29" spans="4:14" s="499" customFormat="1" ht="14.25" customHeight="1">
      <c r="D29" s="499">
        <v>7</v>
      </c>
      <c r="E29" s="406" t="s">
        <v>332</v>
      </c>
      <c r="F29" s="514">
        <v>0</v>
      </c>
      <c r="G29" s="517"/>
      <c r="H29" s="518">
        <f t="shared" si="0"/>
        <v>0</v>
      </c>
      <c r="I29" s="516">
        <f t="shared" si="1"/>
        <v>0</v>
      </c>
      <c r="J29" s="517">
        <f t="shared" si="1"/>
        <v>0</v>
      </c>
      <c r="K29" s="518">
        <f t="shared" si="2"/>
        <v>0</v>
      </c>
      <c r="L29" s="456"/>
      <c r="M29" s="508"/>
      <c r="N29" s="454"/>
    </row>
    <row r="30" spans="5:14" s="499" customFormat="1" ht="15.75" thickBot="1">
      <c r="E30" s="511"/>
      <c r="F30" s="514"/>
      <c r="G30" s="517"/>
      <c r="H30" s="519"/>
      <c r="I30" s="516"/>
      <c r="J30" s="517"/>
      <c r="K30" s="518"/>
      <c r="L30" s="456"/>
      <c r="M30" s="508"/>
      <c r="N30" s="454"/>
    </row>
    <row r="31" spans="5:14" s="499" customFormat="1" ht="15.75" thickBot="1">
      <c r="E31" s="406" t="s">
        <v>14</v>
      </c>
      <c r="F31" s="520">
        <f>SUM(F23:F30)</f>
        <v>187404.9104116223</v>
      </c>
      <c r="G31" s="521">
        <f>SUM(G23:G30)</f>
        <v>814206</v>
      </c>
      <c r="H31" s="522">
        <f>SUM(H23:H30)</f>
        <v>626801.0895883777</v>
      </c>
      <c r="I31" s="516">
        <f>F31</f>
        <v>187404.9104116223</v>
      </c>
      <c r="J31" s="516">
        <f>G31</f>
        <v>814206</v>
      </c>
      <c r="K31" s="522">
        <f t="shared" si="2"/>
        <v>626801.0895883777</v>
      </c>
      <c r="L31" s="456"/>
      <c r="M31" s="509"/>
      <c r="N31" s="500"/>
    </row>
    <row r="32" spans="5:14" s="499" customFormat="1" ht="15">
      <c r="E32" s="523"/>
      <c r="F32" s="524"/>
      <c r="G32" s="524"/>
      <c r="H32" s="525"/>
      <c r="I32" s="525"/>
      <c r="J32" s="525"/>
      <c r="K32" s="525"/>
      <c r="L32" s="523"/>
      <c r="M32" s="501"/>
      <c r="N32" s="501"/>
    </row>
    <row r="33" spans="5:14" s="499" customFormat="1" ht="29.25">
      <c r="E33" s="406" t="s">
        <v>325</v>
      </c>
      <c r="F33" s="502"/>
      <c r="G33" s="502"/>
      <c r="H33" s="503"/>
      <c r="I33" s="516"/>
      <c r="J33" s="517"/>
      <c r="K33" s="518"/>
      <c r="L33" s="456"/>
      <c r="M33" s="510"/>
      <c r="N33" s="456"/>
    </row>
    <row r="34" spans="5:14" s="499" customFormat="1" ht="15">
      <c r="E34" s="456" t="s">
        <v>369</v>
      </c>
      <c r="F34" s="526">
        <f>ACTIVITIES!L9/103.25</f>
        <v>4180.145278450364</v>
      </c>
      <c r="G34" s="527">
        <f>ACTIVITIES!D9+ACTIVITIES!E9</f>
        <v>2000</v>
      </c>
      <c r="H34" s="522">
        <f aca="true" t="shared" si="3" ref="H34:H48">G34-F34</f>
        <v>-2180.1452784503635</v>
      </c>
      <c r="I34" s="516">
        <f aca="true" t="shared" si="4" ref="I34:I48">F34</f>
        <v>4180.145278450364</v>
      </c>
      <c r="J34" s="517">
        <f aca="true" t="shared" si="5" ref="J34:J48">G34</f>
        <v>2000</v>
      </c>
      <c r="K34" s="518">
        <f t="shared" si="2"/>
        <v>-2180.1452784503635</v>
      </c>
      <c r="L34" s="456"/>
      <c r="M34" s="510"/>
      <c r="N34" s="456"/>
    </row>
    <row r="35" spans="5:14" s="499" customFormat="1" ht="15">
      <c r="E35" s="456" t="s">
        <v>370</v>
      </c>
      <c r="F35" s="526">
        <f>ACTIVITIES!L10/103.25</f>
        <v>2265.375302663438</v>
      </c>
      <c r="G35" s="527">
        <f>ACTIVITIES!D10+ACTIVITIES!E10</f>
        <v>3000</v>
      </c>
      <c r="H35" s="522">
        <f t="shared" si="3"/>
        <v>734.6246973365619</v>
      </c>
      <c r="I35" s="516">
        <f t="shared" si="4"/>
        <v>2265.375302663438</v>
      </c>
      <c r="J35" s="517">
        <f t="shared" si="5"/>
        <v>3000</v>
      </c>
      <c r="K35" s="518">
        <f t="shared" si="2"/>
        <v>734.6246973365619</v>
      </c>
      <c r="L35" s="456"/>
      <c r="M35" s="510"/>
      <c r="N35" s="456"/>
    </row>
    <row r="36" spans="5:14" s="499" customFormat="1" ht="15">
      <c r="E36" s="456" t="s">
        <v>371</v>
      </c>
      <c r="F36" s="526">
        <f>ACTIVITIES!L13/103.25</f>
        <v>10612.929782082325</v>
      </c>
      <c r="G36" s="527">
        <f>ACTIVITIES!D13+ACTIVITIES!E13</f>
        <v>15000</v>
      </c>
      <c r="H36" s="522">
        <f t="shared" si="3"/>
        <v>4387.070217917675</v>
      </c>
      <c r="I36" s="516">
        <f t="shared" si="4"/>
        <v>10612.929782082325</v>
      </c>
      <c r="J36" s="517">
        <f t="shared" si="5"/>
        <v>15000</v>
      </c>
      <c r="K36" s="518">
        <f t="shared" si="2"/>
        <v>4387.070217917675</v>
      </c>
      <c r="L36" s="456"/>
      <c r="M36" s="510"/>
      <c r="N36" s="456"/>
    </row>
    <row r="37" spans="5:14" s="499" customFormat="1" ht="15">
      <c r="E37" s="456" t="s">
        <v>372</v>
      </c>
      <c r="F37" s="526">
        <f>ACTIVITIES!L14/103.25</f>
        <v>5016.949152542373</v>
      </c>
      <c r="G37" s="527">
        <f>ACTIVITIES!D14+ACTIVITIES!E14</f>
        <v>6200</v>
      </c>
      <c r="H37" s="522">
        <f t="shared" si="3"/>
        <v>1183.0508474576272</v>
      </c>
      <c r="I37" s="516">
        <f t="shared" si="4"/>
        <v>5016.949152542373</v>
      </c>
      <c r="J37" s="517">
        <f t="shared" si="5"/>
        <v>6200</v>
      </c>
      <c r="K37" s="518">
        <f t="shared" si="2"/>
        <v>1183.0508474576272</v>
      </c>
      <c r="L37" s="456"/>
      <c r="M37" s="510"/>
      <c r="N37" s="456"/>
    </row>
    <row r="38" spans="5:14" s="499" customFormat="1" ht="30">
      <c r="E38" s="456" t="s">
        <v>373</v>
      </c>
      <c r="F38" s="526">
        <f>ACTIVITIES!L17/103.25</f>
        <v>3361.452784503632</v>
      </c>
      <c r="G38" s="527">
        <f>ACTIVITIES!D17+ACTIVITIES!E17</f>
        <v>3000</v>
      </c>
      <c r="H38" s="522">
        <f t="shared" si="3"/>
        <v>-361.45278450363185</v>
      </c>
      <c r="I38" s="516">
        <f t="shared" si="4"/>
        <v>3361.452784503632</v>
      </c>
      <c r="J38" s="517">
        <f t="shared" si="5"/>
        <v>3000</v>
      </c>
      <c r="K38" s="518">
        <f t="shared" si="2"/>
        <v>-361.45278450363185</v>
      </c>
      <c r="L38" s="456"/>
      <c r="M38" s="510"/>
      <c r="N38" s="456"/>
    </row>
    <row r="39" spans="5:14" s="499" customFormat="1" ht="15">
      <c r="E39" s="556" t="s">
        <v>455</v>
      </c>
      <c r="F39" s="526"/>
      <c r="G39" s="527"/>
      <c r="H39" s="522"/>
      <c r="I39" s="516"/>
      <c r="J39" s="517"/>
      <c r="K39" s="518"/>
      <c r="L39" s="456"/>
      <c r="M39" s="510"/>
      <c r="N39" s="456"/>
    </row>
    <row r="40" spans="5:14" s="499" customFormat="1" ht="26.25">
      <c r="E40" s="456" t="s">
        <v>374</v>
      </c>
      <c r="F40" s="526">
        <f>ACTIVITIES!L20/103.25</f>
        <v>0</v>
      </c>
      <c r="G40" s="527">
        <f>ACTIVITIES!D20+ACTIVITIES!E20</f>
        <v>110000</v>
      </c>
      <c r="H40" s="522">
        <f t="shared" si="3"/>
        <v>110000</v>
      </c>
      <c r="I40" s="516">
        <f t="shared" si="4"/>
        <v>0</v>
      </c>
      <c r="J40" s="517">
        <f t="shared" si="5"/>
        <v>110000</v>
      </c>
      <c r="K40" s="518">
        <f aca="true" t="shared" si="6" ref="K40:K92">H40</f>
        <v>110000</v>
      </c>
      <c r="L40" s="549" t="s">
        <v>440</v>
      </c>
      <c r="M40" s="510"/>
      <c r="N40" s="456"/>
    </row>
    <row r="41" spans="5:14" s="499" customFormat="1" ht="30">
      <c r="E41" s="456" t="s">
        <v>375</v>
      </c>
      <c r="F41" s="526">
        <f>ACTIVITIES!L21/103.25</f>
        <v>15250.895883777239</v>
      </c>
      <c r="G41" s="527">
        <f>ACTIVITIES!D21+ACTIVITIES!E21</f>
        <v>50000</v>
      </c>
      <c r="H41" s="522">
        <f t="shared" si="3"/>
        <v>34749.10411622276</v>
      </c>
      <c r="I41" s="516">
        <f t="shared" si="4"/>
        <v>15250.895883777239</v>
      </c>
      <c r="J41" s="517">
        <f t="shared" si="5"/>
        <v>50000</v>
      </c>
      <c r="K41" s="518">
        <f t="shared" si="6"/>
        <v>34749.10411622276</v>
      </c>
      <c r="L41" s="549" t="s">
        <v>452</v>
      </c>
      <c r="M41" s="510"/>
      <c r="N41" s="456"/>
    </row>
    <row r="42" spans="5:14" s="499" customFormat="1" ht="26.25">
      <c r="E42" s="557" t="s">
        <v>456</v>
      </c>
      <c r="F42" s="526"/>
      <c r="G42" s="527"/>
      <c r="H42" s="522"/>
      <c r="I42" s="516"/>
      <c r="J42" s="517"/>
      <c r="K42" s="518"/>
      <c r="L42" s="549"/>
      <c r="M42" s="510"/>
      <c r="N42" s="456"/>
    </row>
    <row r="43" spans="5:14" s="499" customFormat="1" ht="45">
      <c r="E43" s="456" t="s">
        <v>376</v>
      </c>
      <c r="F43" s="526">
        <f>ACTIVITIES!L26/103.25</f>
        <v>6006.537530266344</v>
      </c>
      <c r="G43" s="527">
        <f>ACTIVITIES!D26+ACTIVITIES!E26</f>
        <v>8200</v>
      </c>
      <c r="H43" s="522">
        <f t="shared" si="3"/>
        <v>2193.462469733656</v>
      </c>
      <c r="I43" s="516">
        <f t="shared" si="4"/>
        <v>6006.537530266344</v>
      </c>
      <c r="J43" s="517">
        <f t="shared" si="5"/>
        <v>8200</v>
      </c>
      <c r="K43" s="518">
        <f t="shared" si="6"/>
        <v>2193.462469733656</v>
      </c>
      <c r="L43" s="369" t="s">
        <v>439</v>
      </c>
      <c r="M43" s="510"/>
      <c r="N43" s="456"/>
    </row>
    <row r="44" spans="5:14" s="499" customFormat="1" ht="15">
      <c r="E44" s="456" t="s">
        <v>377</v>
      </c>
      <c r="F44" s="526">
        <f>ACTIVITIES!L27/103.25</f>
        <v>6006.537530266344</v>
      </c>
      <c r="G44" s="527">
        <f>ACTIVITIES!D27+ACTIVITIES!E27</f>
        <v>8000</v>
      </c>
      <c r="H44" s="522">
        <f t="shared" si="3"/>
        <v>1993.4624697336558</v>
      </c>
      <c r="I44" s="516">
        <f t="shared" si="4"/>
        <v>6006.537530266344</v>
      </c>
      <c r="J44" s="517">
        <f t="shared" si="5"/>
        <v>8000</v>
      </c>
      <c r="K44" s="518">
        <f t="shared" si="6"/>
        <v>1993.4624697336558</v>
      </c>
      <c r="L44" s="369"/>
      <c r="M44" s="510"/>
      <c r="N44" s="456"/>
    </row>
    <row r="45" spans="5:14" s="499" customFormat="1" ht="15">
      <c r="E45" s="456" t="s">
        <v>378</v>
      </c>
      <c r="F45" s="526">
        <f>ACTIVITIES!L31/103.25</f>
        <v>0</v>
      </c>
      <c r="G45" s="527">
        <f>ACTIVITIES!D31+ACTIVITIES!E31</f>
        <v>100</v>
      </c>
      <c r="H45" s="522">
        <f t="shared" si="3"/>
        <v>100</v>
      </c>
      <c r="I45" s="516">
        <f t="shared" si="4"/>
        <v>0</v>
      </c>
      <c r="J45" s="517">
        <f t="shared" si="5"/>
        <v>100</v>
      </c>
      <c r="K45" s="518">
        <f t="shared" si="6"/>
        <v>100</v>
      </c>
      <c r="L45" s="369"/>
      <c r="M45" s="510"/>
      <c r="N45" s="456"/>
    </row>
    <row r="46" spans="5:14" s="499" customFormat="1" ht="15">
      <c r="E46" s="456" t="s">
        <v>379</v>
      </c>
      <c r="F46" s="526">
        <f>ACTIVITIES!L34/103.25</f>
        <v>1090.5569007263923</v>
      </c>
      <c r="G46" s="527">
        <f>ACTIVITIES!D34+ACTIVITIES!E34</f>
        <v>1000</v>
      </c>
      <c r="H46" s="522">
        <f t="shared" si="3"/>
        <v>-90.55690072639231</v>
      </c>
      <c r="I46" s="516">
        <f t="shared" si="4"/>
        <v>1090.5569007263923</v>
      </c>
      <c r="J46" s="517">
        <f t="shared" si="5"/>
        <v>1000</v>
      </c>
      <c r="K46" s="518">
        <f t="shared" si="6"/>
        <v>-90.55690072639231</v>
      </c>
      <c r="L46" s="369"/>
      <c r="M46" s="510"/>
      <c r="N46" s="456"/>
    </row>
    <row r="47" spans="5:14" s="499" customFormat="1" ht="30">
      <c r="E47" s="456" t="s">
        <v>380</v>
      </c>
      <c r="F47" s="526">
        <f>ACTIVITIES!L37/103.25</f>
        <v>26760.242130750605</v>
      </c>
      <c r="G47" s="527">
        <f>ACTIVITIES!D38+ACTIVITIES!E38</f>
        <v>15000</v>
      </c>
      <c r="H47" s="522">
        <f t="shared" si="3"/>
        <v>-11760.242130750605</v>
      </c>
      <c r="I47" s="516">
        <f t="shared" si="4"/>
        <v>26760.242130750605</v>
      </c>
      <c r="J47" s="517">
        <f t="shared" si="5"/>
        <v>15000</v>
      </c>
      <c r="K47" s="518">
        <f t="shared" si="6"/>
        <v>-11760.242130750605</v>
      </c>
      <c r="L47" s="369" t="s">
        <v>441</v>
      </c>
      <c r="M47" s="510"/>
      <c r="N47" s="456"/>
    </row>
    <row r="48" spans="5:14" s="499" customFormat="1" ht="15">
      <c r="E48" s="406" t="s">
        <v>14</v>
      </c>
      <c r="F48" s="528">
        <f>SUM(F34:F47)</f>
        <v>80551.62227602905</v>
      </c>
      <c r="G48" s="528">
        <f>SUM(G34:G47)</f>
        <v>221500</v>
      </c>
      <c r="H48" s="529">
        <f t="shared" si="3"/>
        <v>140948.37772397095</v>
      </c>
      <c r="I48" s="530">
        <f t="shared" si="4"/>
        <v>80551.62227602905</v>
      </c>
      <c r="J48" s="530">
        <f t="shared" si="5"/>
        <v>221500</v>
      </c>
      <c r="K48" s="529">
        <f t="shared" si="6"/>
        <v>140948.37772397095</v>
      </c>
      <c r="L48" s="369"/>
      <c r="M48" s="510"/>
      <c r="N48" s="456"/>
    </row>
    <row r="49" spans="5:14" s="499" customFormat="1" ht="29.25">
      <c r="E49" s="406" t="s">
        <v>326</v>
      </c>
      <c r="F49" s="531"/>
      <c r="G49" s="527"/>
      <c r="H49" s="522"/>
      <c r="I49" s="516"/>
      <c r="J49" s="517"/>
      <c r="K49" s="518"/>
      <c r="L49" s="369"/>
      <c r="M49" s="510"/>
      <c r="N49" s="456"/>
    </row>
    <row r="50" spans="5:14" s="499" customFormat="1" ht="15">
      <c r="E50" s="456" t="s">
        <v>327</v>
      </c>
      <c r="F50" s="526">
        <f>ACTIVITIES!L46/103.25</f>
        <v>4067.7966101694915</v>
      </c>
      <c r="G50" s="527">
        <f>ACTIVITIES!D46+ACTIVITIES!E46</f>
        <v>0</v>
      </c>
      <c r="H50" s="522">
        <f aca="true" t="shared" si="7" ref="H50:H74">G50-F50</f>
        <v>-4067.7966101694915</v>
      </c>
      <c r="I50" s="516">
        <f aca="true" t="shared" si="8" ref="I50:I74">F50</f>
        <v>4067.7966101694915</v>
      </c>
      <c r="J50" s="517">
        <f aca="true" t="shared" si="9" ref="J50:J74">G50</f>
        <v>0</v>
      </c>
      <c r="K50" s="518">
        <f t="shared" si="6"/>
        <v>-4067.7966101694915</v>
      </c>
      <c r="L50" s="562" t="s">
        <v>462</v>
      </c>
      <c r="M50" s="510"/>
      <c r="N50" s="456"/>
    </row>
    <row r="51" spans="5:14" s="499" customFormat="1" ht="36.75">
      <c r="E51" s="456" t="s">
        <v>381</v>
      </c>
      <c r="F51" s="526">
        <f>ACTIVITIES!L50/103.25</f>
        <v>2542.3728813559323</v>
      </c>
      <c r="G51" s="527">
        <f>ACTIVITIES!D50+ACTIVITIES!E50</f>
        <v>10000</v>
      </c>
      <c r="H51" s="522">
        <f t="shared" si="7"/>
        <v>7457.627118644068</v>
      </c>
      <c r="I51" s="516">
        <f t="shared" si="8"/>
        <v>2542.3728813559323</v>
      </c>
      <c r="J51" s="517">
        <f t="shared" si="9"/>
        <v>10000</v>
      </c>
      <c r="K51" s="518">
        <f t="shared" si="6"/>
        <v>7457.627118644068</v>
      </c>
      <c r="L51" s="562" t="s">
        <v>463</v>
      </c>
      <c r="M51" s="510"/>
      <c r="N51" s="456"/>
    </row>
    <row r="52" spans="5:14" s="499" customFormat="1" ht="36.75">
      <c r="E52" s="456" t="s">
        <v>382</v>
      </c>
      <c r="F52" s="526">
        <f>ACTIVITIES!L51/103.25</f>
        <v>0</v>
      </c>
      <c r="G52" s="527">
        <f>ACTIVITIES!D51+ACTIVITIES!E51</f>
        <v>5000</v>
      </c>
      <c r="H52" s="522">
        <f t="shared" si="7"/>
        <v>5000</v>
      </c>
      <c r="I52" s="516">
        <f t="shared" si="8"/>
        <v>0</v>
      </c>
      <c r="J52" s="517">
        <f t="shared" si="9"/>
        <v>5000</v>
      </c>
      <c r="K52" s="518">
        <f t="shared" si="6"/>
        <v>5000</v>
      </c>
      <c r="L52" s="562" t="s">
        <v>463</v>
      </c>
      <c r="M52" s="510"/>
      <c r="N52" s="456"/>
    </row>
    <row r="53" spans="5:14" s="499" customFormat="1" ht="36.75">
      <c r="E53" s="456" t="s">
        <v>383</v>
      </c>
      <c r="F53" s="526">
        <f>ACTIVITIES!L52/103.25</f>
        <v>0</v>
      </c>
      <c r="G53" s="527">
        <f>ACTIVITIES!D52+ACTIVITIES!E52</f>
        <v>33920</v>
      </c>
      <c r="H53" s="522">
        <f t="shared" si="7"/>
        <v>33920</v>
      </c>
      <c r="I53" s="516">
        <f t="shared" si="8"/>
        <v>0</v>
      </c>
      <c r="J53" s="517">
        <f t="shared" si="9"/>
        <v>33920</v>
      </c>
      <c r="K53" s="518">
        <f t="shared" si="6"/>
        <v>33920</v>
      </c>
      <c r="L53" s="562" t="s">
        <v>463</v>
      </c>
      <c r="M53" s="510"/>
      <c r="N53" s="456"/>
    </row>
    <row r="54" spans="5:14" s="499" customFormat="1" ht="36.75">
      <c r="E54" s="561" t="s">
        <v>457</v>
      </c>
      <c r="F54" s="526"/>
      <c r="G54" s="527"/>
      <c r="H54" s="522"/>
      <c r="I54" s="516"/>
      <c r="J54" s="517"/>
      <c r="K54" s="518"/>
      <c r="L54" s="562" t="s">
        <v>463</v>
      </c>
      <c r="M54" s="510"/>
      <c r="N54" s="456"/>
    </row>
    <row r="55" spans="5:14" s="499" customFormat="1" ht="36.75">
      <c r="E55" s="456" t="s">
        <v>384</v>
      </c>
      <c r="F55" s="526">
        <f>ACTIVITIES!L55/103.25</f>
        <v>0</v>
      </c>
      <c r="G55" s="527">
        <f>ACTIVITIES!D55+ACTIVITIES!E55</f>
        <v>14000</v>
      </c>
      <c r="H55" s="522">
        <f t="shared" si="7"/>
        <v>14000</v>
      </c>
      <c r="I55" s="516">
        <f t="shared" si="8"/>
        <v>0</v>
      </c>
      <c r="J55" s="517">
        <f t="shared" si="9"/>
        <v>14000</v>
      </c>
      <c r="K55" s="518">
        <f t="shared" si="6"/>
        <v>14000</v>
      </c>
      <c r="L55" s="562" t="s">
        <v>463</v>
      </c>
      <c r="M55" s="510"/>
      <c r="N55" s="456"/>
    </row>
    <row r="56" spans="5:14" s="499" customFormat="1" ht="36.75">
      <c r="E56" s="456" t="s">
        <v>385</v>
      </c>
      <c r="F56" s="526">
        <f>ACTIVITIES!L56/103.25</f>
        <v>0</v>
      </c>
      <c r="G56" s="527">
        <f>ACTIVITIES!D56+ACTIVITIES!E56</f>
        <v>4000</v>
      </c>
      <c r="H56" s="522">
        <f t="shared" si="7"/>
        <v>4000</v>
      </c>
      <c r="I56" s="516">
        <f t="shared" si="8"/>
        <v>0</v>
      </c>
      <c r="J56" s="517">
        <f t="shared" si="9"/>
        <v>4000</v>
      </c>
      <c r="K56" s="518">
        <f t="shared" si="6"/>
        <v>4000</v>
      </c>
      <c r="L56" s="562" t="s">
        <v>463</v>
      </c>
      <c r="M56" s="510"/>
      <c r="N56" s="456"/>
    </row>
    <row r="57" spans="5:14" s="499" customFormat="1" ht="36.75">
      <c r="E57" s="456" t="s">
        <v>386</v>
      </c>
      <c r="F57" s="526">
        <f>ACTIVITIES!L57/103.25</f>
        <v>0</v>
      </c>
      <c r="G57" s="527">
        <f>ACTIVITIES!D57+ACTIVITIES!E57</f>
        <v>35000</v>
      </c>
      <c r="H57" s="522">
        <f t="shared" si="7"/>
        <v>35000</v>
      </c>
      <c r="I57" s="516">
        <f t="shared" si="8"/>
        <v>0</v>
      </c>
      <c r="J57" s="517">
        <f t="shared" si="9"/>
        <v>35000</v>
      </c>
      <c r="K57" s="518">
        <f t="shared" si="6"/>
        <v>35000</v>
      </c>
      <c r="L57" s="562" t="s">
        <v>463</v>
      </c>
      <c r="M57" s="510"/>
      <c r="N57" s="456"/>
    </row>
    <row r="58" spans="5:14" s="499" customFormat="1" ht="15">
      <c r="E58" s="561" t="s">
        <v>436</v>
      </c>
      <c r="F58" s="526"/>
      <c r="G58" s="527"/>
      <c r="H58" s="522"/>
      <c r="I58" s="516"/>
      <c r="J58" s="517"/>
      <c r="K58" s="518"/>
      <c r="L58" s="550"/>
      <c r="M58" s="510"/>
      <c r="N58" s="456"/>
    </row>
    <row r="59" spans="5:14" s="499" customFormat="1" ht="15">
      <c r="E59" s="456" t="s">
        <v>436</v>
      </c>
      <c r="F59" s="526">
        <f>ACTIVITIES!L65/103.25</f>
        <v>7751.961259079903</v>
      </c>
      <c r="G59" s="527">
        <f>ACTIVITIES!D65+ACTIVITIES!E65</f>
        <v>0</v>
      </c>
      <c r="H59" s="522">
        <f t="shared" si="7"/>
        <v>-7751.961259079903</v>
      </c>
      <c r="I59" s="516">
        <f t="shared" si="8"/>
        <v>7751.961259079903</v>
      </c>
      <c r="J59" s="517">
        <f t="shared" si="9"/>
        <v>0</v>
      </c>
      <c r="K59" s="518">
        <f>H59</f>
        <v>-7751.961259079903</v>
      </c>
      <c r="L59" s="369" t="s">
        <v>442</v>
      </c>
      <c r="M59" s="510"/>
      <c r="N59" s="456"/>
    </row>
    <row r="60" spans="5:14" s="499" customFormat="1" ht="26.25">
      <c r="E60" s="561" t="s">
        <v>458</v>
      </c>
      <c r="F60" s="526"/>
      <c r="G60" s="527"/>
      <c r="H60" s="522"/>
      <c r="I60" s="516"/>
      <c r="J60" s="517"/>
      <c r="K60" s="518"/>
      <c r="L60" s="369"/>
      <c r="M60" s="510"/>
      <c r="N60" s="456"/>
    </row>
    <row r="61" spans="5:14" s="499" customFormat="1" ht="15">
      <c r="E61" s="456" t="s">
        <v>387</v>
      </c>
      <c r="F61" s="526">
        <f>ACTIVITIES!L70/103.25</f>
        <v>0</v>
      </c>
      <c r="G61" s="527">
        <f>ACTIVITIES!D70+ACTIVITIES!E70</f>
        <v>500</v>
      </c>
      <c r="H61" s="522">
        <f t="shared" si="7"/>
        <v>500</v>
      </c>
      <c r="I61" s="516">
        <f t="shared" si="8"/>
        <v>0</v>
      </c>
      <c r="J61" s="517">
        <f t="shared" si="9"/>
        <v>500</v>
      </c>
      <c r="K61" s="518">
        <f t="shared" si="6"/>
        <v>500</v>
      </c>
      <c r="L61" s="369" t="s">
        <v>443</v>
      </c>
      <c r="M61" s="510"/>
      <c r="N61" s="456"/>
    </row>
    <row r="62" spans="5:14" s="499" customFormat="1" ht="15">
      <c r="E62" s="456" t="s">
        <v>388</v>
      </c>
      <c r="F62" s="526">
        <f>ACTIVITIES!L71/103.25</f>
        <v>0</v>
      </c>
      <c r="G62" s="527">
        <f>ACTIVITIES!D71+ACTIVITIES!E71</f>
        <v>3000</v>
      </c>
      <c r="H62" s="522">
        <f t="shared" si="7"/>
        <v>3000</v>
      </c>
      <c r="I62" s="516">
        <f t="shared" si="8"/>
        <v>0</v>
      </c>
      <c r="J62" s="517">
        <f t="shared" si="9"/>
        <v>3000</v>
      </c>
      <c r="K62" s="518">
        <f t="shared" si="6"/>
        <v>3000</v>
      </c>
      <c r="L62" s="369" t="s">
        <v>443</v>
      </c>
      <c r="M62" s="510"/>
      <c r="N62" s="456"/>
    </row>
    <row r="63" spans="5:14" s="499" customFormat="1" ht="30">
      <c r="E63" s="456" t="s">
        <v>389</v>
      </c>
      <c r="F63" s="526">
        <f>ACTIVITIES!L72/103.25</f>
        <v>0</v>
      </c>
      <c r="G63" s="527">
        <f>ACTIVITIES!D72+ACTIVITIES!E72</f>
        <v>7000</v>
      </c>
      <c r="H63" s="522">
        <f t="shared" si="7"/>
        <v>7000</v>
      </c>
      <c r="I63" s="516">
        <f t="shared" si="8"/>
        <v>0</v>
      </c>
      <c r="J63" s="517">
        <f t="shared" si="9"/>
        <v>7000</v>
      </c>
      <c r="K63" s="518">
        <f t="shared" si="6"/>
        <v>7000</v>
      </c>
      <c r="L63" s="369" t="s">
        <v>443</v>
      </c>
      <c r="M63" s="510"/>
      <c r="N63" s="456"/>
    </row>
    <row r="64" spans="5:14" s="499" customFormat="1" ht="15">
      <c r="E64" s="456" t="s">
        <v>390</v>
      </c>
      <c r="F64" s="526">
        <f>ACTIVITIES!L73/103.25</f>
        <v>0</v>
      </c>
      <c r="G64" s="527">
        <f>ACTIVITIES!D73+ACTIVITIES!E73</f>
        <v>3500</v>
      </c>
      <c r="H64" s="522">
        <f t="shared" si="7"/>
        <v>3500</v>
      </c>
      <c r="I64" s="516">
        <f t="shared" si="8"/>
        <v>0</v>
      </c>
      <c r="J64" s="517">
        <f t="shared" si="9"/>
        <v>3500</v>
      </c>
      <c r="K64" s="518">
        <f t="shared" si="6"/>
        <v>3500</v>
      </c>
      <c r="L64" s="369" t="s">
        <v>443</v>
      </c>
      <c r="M64" s="510"/>
      <c r="N64" s="456"/>
    </row>
    <row r="65" spans="5:14" s="499" customFormat="1" ht="30">
      <c r="E65" s="456" t="s">
        <v>391</v>
      </c>
      <c r="F65" s="526">
        <f>ACTIVITIES!L77/103.25</f>
        <v>0</v>
      </c>
      <c r="G65" s="527">
        <f>ACTIVITIES!D77+ACTIVITIES!E77</f>
        <v>3000</v>
      </c>
      <c r="H65" s="522">
        <f t="shared" si="7"/>
        <v>3000</v>
      </c>
      <c r="I65" s="516">
        <f t="shared" si="8"/>
        <v>0</v>
      </c>
      <c r="J65" s="517">
        <f t="shared" si="9"/>
        <v>3000</v>
      </c>
      <c r="K65" s="518">
        <f t="shared" si="6"/>
        <v>3000</v>
      </c>
      <c r="L65" s="369" t="s">
        <v>443</v>
      </c>
      <c r="M65" s="510"/>
      <c r="N65" s="456"/>
    </row>
    <row r="66" spans="5:14" s="499" customFormat="1" ht="15">
      <c r="E66" s="561" t="s">
        <v>460</v>
      </c>
      <c r="F66" s="526"/>
      <c r="G66" s="527"/>
      <c r="H66" s="522"/>
      <c r="I66" s="516"/>
      <c r="J66" s="517"/>
      <c r="K66" s="518"/>
      <c r="L66" s="369" t="s">
        <v>443</v>
      </c>
      <c r="M66" s="510"/>
      <c r="N66" s="456"/>
    </row>
    <row r="67" spans="5:14" s="499" customFormat="1" ht="15">
      <c r="E67" s="456" t="s">
        <v>392</v>
      </c>
      <c r="F67" s="526">
        <f>ACTIVITIES!L81/103.25</f>
        <v>0</v>
      </c>
      <c r="G67" s="527">
        <f>ACTIVITIES!D81+ACTIVITIES!E81</f>
        <v>500</v>
      </c>
      <c r="H67" s="522">
        <f t="shared" si="7"/>
        <v>500</v>
      </c>
      <c r="I67" s="516">
        <f t="shared" si="8"/>
        <v>0</v>
      </c>
      <c r="J67" s="517">
        <f t="shared" si="9"/>
        <v>500</v>
      </c>
      <c r="K67" s="518">
        <f t="shared" si="6"/>
        <v>500</v>
      </c>
      <c r="L67" s="369" t="s">
        <v>443</v>
      </c>
      <c r="M67" s="510"/>
      <c r="N67" s="456"/>
    </row>
    <row r="68" spans="5:14" s="499" customFormat="1" ht="30">
      <c r="E68" s="456" t="s">
        <v>393</v>
      </c>
      <c r="F68" s="526">
        <f>ACTIVITIES!L82/103.25</f>
        <v>0</v>
      </c>
      <c r="G68" s="527">
        <f>ACTIVITIES!D82+ACTIVITIES!E82</f>
        <v>4500</v>
      </c>
      <c r="H68" s="522">
        <f t="shared" si="7"/>
        <v>4500</v>
      </c>
      <c r="I68" s="516">
        <f t="shared" si="8"/>
        <v>0</v>
      </c>
      <c r="J68" s="517">
        <f t="shared" si="9"/>
        <v>4500</v>
      </c>
      <c r="K68" s="518">
        <f t="shared" si="6"/>
        <v>4500</v>
      </c>
      <c r="L68" s="369" t="s">
        <v>443</v>
      </c>
      <c r="M68" s="510"/>
      <c r="N68" s="456"/>
    </row>
    <row r="69" spans="5:14" s="499" customFormat="1" ht="41.25" customHeight="1">
      <c r="E69" s="553" t="s">
        <v>459</v>
      </c>
      <c r="F69" s="551"/>
      <c r="G69" s="551"/>
      <c r="H69" s="551"/>
      <c r="I69" s="551"/>
      <c r="J69" s="551"/>
      <c r="K69" s="551"/>
      <c r="L69" s="552"/>
      <c r="M69" s="510"/>
      <c r="N69" s="456"/>
    </row>
    <row r="70" spans="5:14" s="499" customFormat="1" ht="30">
      <c r="E70" s="456" t="s">
        <v>438</v>
      </c>
      <c r="F70" s="526">
        <f>ACTIVITIES!L86/103.25</f>
        <v>2324.455205811138</v>
      </c>
      <c r="G70" s="527">
        <f>ACTIVITIES!D86+ACTIVITIES!E86</f>
        <v>2300</v>
      </c>
      <c r="H70" s="522">
        <f t="shared" si="7"/>
        <v>-24.455205811138057</v>
      </c>
      <c r="I70" s="516">
        <f t="shared" si="8"/>
        <v>2324.455205811138</v>
      </c>
      <c r="J70" s="517">
        <f t="shared" si="9"/>
        <v>2300</v>
      </c>
      <c r="K70" s="518">
        <f t="shared" si="6"/>
        <v>-24.455205811138057</v>
      </c>
      <c r="L70" s="369"/>
      <c r="M70" s="510"/>
      <c r="N70" s="456"/>
    </row>
    <row r="71" spans="5:14" s="499" customFormat="1" ht="30">
      <c r="E71" s="456" t="s">
        <v>395</v>
      </c>
      <c r="F71" s="526">
        <f>ACTIVITIES!L87/103.25</f>
        <v>764.1646489104116</v>
      </c>
      <c r="G71" s="527">
        <f>ACTIVITIES!D87+ACTIVITIES!E87</f>
        <v>6000</v>
      </c>
      <c r="H71" s="522">
        <f t="shared" si="7"/>
        <v>5235.835351089589</v>
      </c>
      <c r="I71" s="516">
        <f t="shared" si="8"/>
        <v>764.1646489104116</v>
      </c>
      <c r="J71" s="517">
        <f t="shared" si="9"/>
        <v>6000</v>
      </c>
      <c r="K71" s="518">
        <f t="shared" si="6"/>
        <v>5235.835351089589</v>
      </c>
      <c r="L71" s="369"/>
      <c r="M71" s="510"/>
      <c r="N71" s="456"/>
    </row>
    <row r="72" spans="5:14" s="499" customFormat="1" ht="30">
      <c r="E72" s="456" t="s">
        <v>396</v>
      </c>
      <c r="F72" s="526">
        <f>ACTIVITIES!L88/103.25</f>
        <v>6783.225181598063</v>
      </c>
      <c r="G72" s="527">
        <f>ACTIVITIES!D88+ACTIVITIES!E88</f>
        <v>5030</v>
      </c>
      <c r="H72" s="522">
        <f t="shared" si="7"/>
        <v>-1753.2251815980626</v>
      </c>
      <c r="I72" s="516">
        <f t="shared" si="8"/>
        <v>6783.225181598063</v>
      </c>
      <c r="J72" s="517">
        <f t="shared" si="9"/>
        <v>5030</v>
      </c>
      <c r="K72" s="518">
        <f t="shared" si="6"/>
        <v>-1753.2251815980626</v>
      </c>
      <c r="L72" s="369"/>
      <c r="M72" s="510"/>
      <c r="N72" s="456"/>
    </row>
    <row r="73" spans="5:14" s="499" customFormat="1" ht="15">
      <c r="E73" s="456" t="s">
        <v>397</v>
      </c>
      <c r="F73" s="526">
        <f>ACTIVITIES!L89/103.25</f>
        <v>0</v>
      </c>
      <c r="G73" s="527">
        <f>ACTIVITIES!D89+ACTIVITIES!E89</f>
        <v>100</v>
      </c>
      <c r="H73" s="522">
        <f t="shared" si="7"/>
        <v>100</v>
      </c>
      <c r="I73" s="516">
        <f t="shared" si="8"/>
        <v>0</v>
      </c>
      <c r="J73" s="517">
        <f t="shared" si="9"/>
        <v>100</v>
      </c>
      <c r="K73" s="518">
        <f t="shared" si="6"/>
        <v>100</v>
      </c>
      <c r="L73" s="369"/>
      <c r="M73" s="510"/>
      <c r="N73" s="456"/>
    </row>
    <row r="74" spans="5:14" s="499" customFormat="1" ht="15">
      <c r="E74" s="406" t="s">
        <v>14</v>
      </c>
      <c r="F74" s="528">
        <f>SUM(F50:F73)</f>
        <v>24233.97578692494</v>
      </c>
      <c r="G74" s="528">
        <f>SUM(G50:G73)</f>
        <v>137350</v>
      </c>
      <c r="H74" s="532">
        <f t="shared" si="7"/>
        <v>113116.02421307506</v>
      </c>
      <c r="I74" s="530">
        <f t="shared" si="8"/>
        <v>24233.97578692494</v>
      </c>
      <c r="J74" s="530">
        <f t="shared" si="9"/>
        <v>137350</v>
      </c>
      <c r="K74" s="529">
        <f t="shared" si="6"/>
        <v>113116.02421307506</v>
      </c>
      <c r="L74" s="369"/>
      <c r="M74" s="510"/>
      <c r="N74" s="456"/>
    </row>
    <row r="75" spans="5:14" s="499" customFormat="1" ht="15">
      <c r="E75" s="406" t="s">
        <v>328</v>
      </c>
      <c r="F75" s="527"/>
      <c r="G75" s="527"/>
      <c r="H75" s="522"/>
      <c r="I75" s="516"/>
      <c r="J75" s="517"/>
      <c r="K75" s="518"/>
      <c r="L75" s="369"/>
      <c r="M75" s="510"/>
      <c r="N75" s="456"/>
    </row>
    <row r="76" spans="5:14" s="499" customFormat="1" ht="30">
      <c r="E76" s="456" t="s">
        <v>398</v>
      </c>
      <c r="F76" s="526">
        <f>ACTIVITIES!L94/103.25</f>
        <v>849.3946731234867</v>
      </c>
      <c r="G76" s="527">
        <f>ACTIVITIES!D94+ACTIVITIES!E94</f>
        <v>1000</v>
      </c>
      <c r="H76" s="522">
        <f>G76-F76</f>
        <v>150.60532687651335</v>
      </c>
      <c r="I76" s="516">
        <f aca="true" t="shared" si="10" ref="I76:J80">F76</f>
        <v>849.3946731234867</v>
      </c>
      <c r="J76" s="517">
        <f t="shared" si="10"/>
        <v>1000</v>
      </c>
      <c r="K76" s="518">
        <f t="shared" si="6"/>
        <v>150.60532687651335</v>
      </c>
      <c r="L76" s="369"/>
      <c r="M76" s="510"/>
      <c r="N76" s="456"/>
    </row>
    <row r="77" spans="5:14" s="499" customFormat="1" ht="15">
      <c r="E77" s="554" t="s">
        <v>447</v>
      </c>
      <c r="F77" s="526"/>
      <c r="G77" s="527"/>
      <c r="H77" s="522"/>
      <c r="I77" s="516"/>
      <c r="J77" s="517"/>
      <c r="K77" s="518"/>
      <c r="L77" s="369"/>
      <c r="M77" s="510"/>
      <c r="N77" s="456"/>
    </row>
    <row r="78" spans="5:15" s="499" customFormat="1" ht="36" customHeight="1">
      <c r="E78" s="546" t="s">
        <v>399</v>
      </c>
      <c r="F78" s="540">
        <f>ACTIVITIES!L99/103.25</f>
        <v>0</v>
      </c>
      <c r="G78" s="541">
        <f>ACTIVITIES!D99+ACTIVITIES!E99</f>
        <v>3000</v>
      </c>
      <c r="H78" s="542">
        <f>G78-F78</f>
        <v>3000</v>
      </c>
      <c r="I78" s="543">
        <f t="shared" si="10"/>
        <v>0</v>
      </c>
      <c r="J78" s="544">
        <f t="shared" si="10"/>
        <v>3000</v>
      </c>
      <c r="K78" s="545">
        <f t="shared" si="6"/>
        <v>3000</v>
      </c>
      <c r="L78" s="583" t="s">
        <v>468</v>
      </c>
      <c r="M78" s="547"/>
      <c r="N78" s="546"/>
      <c r="O78" s="548"/>
    </row>
    <row r="79" spans="5:14" s="499" customFormat="1" ht="30">
      <c r="E79" s="533" t="s">
        <v>400</v>
      </c>
      <c r="F79" s="526">
        <f>ACTIVITIES!L103/103.25</f>
        <v>0</v>
      </c>
      <c r="G79" s="527">
        <f>ACTIVITIES!D103+ACTIVITIES!E103</f>
        <v>1000</v>
      </c>
      <c r="H79" s="522">
        <f>G79-F79</f>
        <v>1000</v>
      </c>
      <c r="I79" s="516">
        <f t="shared" si="10"/>
        <v>0</v>
      </c>
      <c r="J79" s="517">
        <f t="shared" si="10"/>
        <v>1000</v>
      </c>
      <c r="K79" s="518">
        <f t="shared" si="6"/>
        <v>1000</v>
      </c>
      <c r="L79" s="583" t="s">
        <v>468</v>
      </c>
      <c r="M79" s="510"/>
      <c r="N79" s="456"/>
    </row>
    <row r="80" spans="5:14" s="499" customFormat="1" ht="15">
      <c r="E80" s="406" t="s">
        <v>14</v>
      </c>
      <c r="F80" s="528">
        <f>SUM(F76:F79)</f>
        <v>849.3946731234867</v>
      </c>
      <c r="G80" s="528">
        <f>SUM(G76:G79)</f>
        <v>5000</v>
      </c>
      <c r="H80" s="532">
        <f>G80-F80</f>
        <v>4150.605326876514</v>
      </c>
      <c r="I80" s="530">
        <f t="shared" si="10"/>
        <v>849.3946731234867</v>
      </c>
      <c r="J80" s="530">
        <f t="shared" si="10"/>
        <v>5000</v>
      </c>
      <c r="K80" s="529">
        <f t="shared" si="6"/>
        <v>4150.605326876514</v>
      </c>
      <c r="L80" s="369"/>
      <c r="M80" s="510"/>
      <c r="N80" s="456"/>
    </row>
    <row r="81" spans="5:14" s="499" customFormat="1" ht="29.25">
      <c r="E81" s="406" t="s">
        <v>329</v>
      </c>
      <c r="F81" s="527"/>
      <c r="G81" s="527"/>
      <c r="H81" s="522"/>
      <c r="I81" s="516"/>
      <c r="J81" s="517"/>
      <c r="K81" s="518"/>
      <c r="L81" s="369"/>
      <c r="M81" s="510"/>
      <c r="N81" s="456"/>
    </row>
    <row r="82" spans="5:14" s="499" customFormat="1" ht="45">
      <c r="E82" s="408" t="s">
        <v>401</v>
      </c>
      <c r="F82" s="526">
        <f>ACTIVITIES!L142/103.25</f>
        <v>0</v>
      </c>
      <c r="G82" s="527">
        <f>ACTIVITIES!D142+ACTIVITIES!E142</f>
        <v>328656</v>
      </c>
      <c r="H82" s="522">
        <f aca="true" t="shared" si="11" ref="H82:H95">G82-F82</f>
        <v>328656</v>
      </c>
      <c r="I82" s="516">
        <f aca="true" t="shared" si="12" ref="I82:I95">F82</f>
        <v>0</v>
      </c>
      <c r="J82" s="517">
        <f aca="true" t="shared" si="13" ref="J82:J95">G82</f>
        <v>328656</v>
      </c>
      <c r="K82" s="518">
        <f t="shared" si="6"/>
        <v>328656</v>
      </c>
      <c r="L82" s="583" t="s">
        <v>444</v>
      </c>
      <c r="M82" s="510"/>
      <c r="N82" s="456"/>
    </row>
    <row r="83" spans="5:14" s="499" customFormat="1" ht="30">
      <c r="E83" s="456" t="s">
        <v>402</v>
      </c>
      <c r="F83" s="526">
        <f>ACTIVITIES!L151/103.25</f>
        <v>0</v>
      </c>
      <c r="G83" s="527">
        <f>ACTIVITIES!D151+ACTIVITIES!E151</f>
        <v>10000</v>
      </c>
      <c r="H83" s="522">
        <f t="shared" si="11"/>
        <v>10000</v>
      </c>
      <c r="I83" s="516">
        <f t="shared" si="12"/>
        <v>0</v>
      </c>
      <c r="J83" s="517">
        <f t="shared" si="13"/>
        <v>10000</v>
      </c>
      <c r="K83" s="518">
        <f t="shared" si="6"/>
        <v>10000</v>
      </c>
      <c r="L83" s="583" t="s">
        <v>444</v>
      </c>
      <c r="M83" s="510"/>
      <c r="N83" s="456"/>
    </row>
    <row r="84" spans="5:14" s="499" customFormat="1" ht="45">
      <c r="E84" s="456" t="s">
        <v>403</v>
      </c>
      <c r="F84" s="526">
        <f>ACTIVITIES!L157/103.25</f>
        <v>3065.133171912833</v>
      </c>
      <c r="G84" s="527">
        <f>ACTIVITIES!D157+ACTIVITIES!E157</f>
        <v>10000</v>
      </c>
      <c r="H84" s="522">
        <f t="shared" si="11"/>
        <v>6934.866828087167</v>
      </c>
      <c r="I84" s="516">
        <f t="shared" si="12"/>
        <v>3065.133171912833</v>
      </c>
      <c r="J84" s="517">
        <f t="shared" si="13"/>
        <v>10000</v>
      </c>
      <c r="K84" s="518">
        <f t="shared" si="6"/>
        <v>6934.866828087167</v>
      </c>
      <c r="L84" s="583" t="s">
        <v>469</v>
      </c>
      <c r="M84" s="510"/>
      <c r="N84" s="456"/>
    </row>
    <row r="85" spans="5:14" s="499" customFormat="1" ht="45">
      <c r="E85" s="456" t="s">
        <v>404</v>
      </c>
      <c r="F85" s="526">
        <f>ACTIVITIES!L161/103.25</f>
        <v>3448.6101694915255</v>
      </c>
      <c r="G85" s="527">
        <f>ACTIVITIES!D161+ACTIVITIES!E161</f>
        <v>10000</v>
      </c>
      <c r="H85" s="522">
        <f t="shared" si="11"/>
        <v>6551.389830508475</v>
      </c>
      <c r="I85" s="516">
        <f t="shared" si="12"/>
        <v>3448.6101694915255</v>
      </c>
      <c r="J85" s="517">
        <f t="shared" si="13"/>
        <v>10000</v>
      </c>
      <c r="K85" s="518">
        <f t="shared" si="6"/>
        <v>6551.389830508475</v>
      </c>
      <c r="L85" s="583" t="s">
        <v>469</v>
      </c>
      <c r="M85" s="510"/>
      <c r="N85" s="456"/>
    </row>
    <row r="86" spans="5:14" s="499" customFormat="1" ht="30">
      <c r="E86" s="456" t="s">
        <v>405</v>
      </c>
      <c r="F86" s="526">
        <f>ACTIVITIES!L166/103.25</f>
        <v>0</v>
      </c>
      <c r="G86" s="527">
        <f>ACTIVITIES!D166+ACTIVITIES!E166</f>
        <v>3000</v>
      </c>
      <c r="H86" s="522">
        <f t="shared" si="11"/>
        <v>3000</v>
      </c>
      <c r="I86" s="516">
        <f t="shared" si="12"/>
        <v>0</v>
      </c>
      <c r="J86" s="517">
        <f t="shared" si="13"/>
        <v>3000</v>
      </c>
      <c r="K86" s="518">
        <f t="shared" si="6"/>
        <v>3000</v>
      </c>
      <c r="L86" s="583" t="s">
        <v>445</v>
      </c>
      <c r="M86" s="510"/>
      <c r="N86" s="456"/>
    </row>
    <row r="87" spans="5:14" s="499" customFormat="1" ht="45">
      <c r="E87" s="456" t="s">
        <v>406</v>
      </c>
      <c r="F87" s="526">
        <f>ACTIVITIES!L175/103.25</f>
        <v>0</v>
      </c>
      <c r="G87" s="527">
        <f>ACTIVITIES!D175+ACTIVITIES!E175</f>
        <v>5000</v>
      </c>
      <c r="H87" s="522">
        <f t="shared" si="11"/>
        <v>5000</v>
      </c>
      <c r="I87" s="516">
        <f t="shared" si="12"/>
        <v>0</v>
      </c>
      <c r="J87" s="517">
        <f t="shared" si="13"/>
        <v>5000</v>
      </c>
      <c r="K87" s="518">
        <f t="shared" si="6"/>
        <v>5000</v>
      </c>
      <c r="L87" s="583" t="s">
        <v>464</v>
      </c>
      <c r="M87" s="510"/>
      <c r="N87" s="456"/>
    </row>
    <row r="88" spans="5:14" s="499" customFormat="1" ht="30">
      <c r="E88" s="456" t="s">
        <v>407</v>
      </c>
      <c r="F88" s="526">
        <f>ACTIVITIES!L176/103.25</f>
        <v>0</v>
      </c>
      <c r="G88" s="527">
        <f>ACTIVITIES!D176+ACTIVITIES!E176</f>
        <v>1200</v>
      </c>
      <c r="H88" s="522">
        <f t="shared" si="11"/>
        <v>1200</v>
      </c>
      <c r="I88" s="516">
        <f t="shared" si="12"/>
        <v>0</v>
      </c>
      <c r="J88" s="517">
        <f t="shared" si="13"/>
        <v>1200</v>
      </c>
      <c r="K88" s="518">
        <f t="shared" si="6"/>
        <v>1200</v>
      </c>
      <c r="L88" s="583" t="s">
        <v>465</v>
      </c>
      <c r="M88" s="510"/>
      <c r="N88" s="456"/>
    </row>
    <row r="89" spans="5:14" s="499" customFormat="1" ht="43.5">
      <c r="E89" s="456" t="s">
        <v>408</v>
      </c>
      <c r="F89" s="526">
        <f>ACTIVITIES!L182/103.25</f>
        <v>0</v>
      </c>
      <c r="G89" s="527">
        <f>ACTIVITIES!D182+ACTIVITIES!E182</f>
        <v>2000</v>
      </c>
      <c r="H89" s="522">
        <f t="shared" si="11"/>
        <v>2000</v>
      </c>
      <c r="I89" s="516">
        <f t="shared" si="12"/>
        <v>0</v>
      </c>
      <c r="J89" s="517">
        <f t="shared" si="13"/>
        <v>2000</v>
      </c>
      <c r="K89" s="518">
        <f t="shared" si="6"/>
        <v>2000</v>
      </c>
      <c r="L89" s="583" t="s">
        <v>466</v>
      </c>
      <c r="M89" s="510"/>
      <c r="N89" s="456"/>
    </row>
    <row r="90" spans="5:14" s="499" customFormat="1" ht="43.5">
      <c r="E90" s="456" t="s">
        <v>409</v>
      </c>
      <c r="F90" s="526">
        <f>ACTIVITIES!L183/103.25</f>
        <v>0</v>
      </c>
      <c r="G90" s="527">
        <f>ACTIVITIES!D183+ACTIVITIES!E183</f>
        <v>500</v>
      </c>
      <c r="H90" s="522">
        <f t="shared" si="11"/>
        <v>500</v>
      </c>
      <c r="I90" s="516">
        <f t="shared" si="12"/>
        <v>0</v>
      </c>
      <c r="J90" s="517">
        <f t="shared" si="13"/>
        <v>500</v>
      </c>
      <c r="K90" s="518">
        <f t="shared" si="6"/>
        <v>500</v>
      </c>
      <c r="L90" s="583" t="s">
        <v>466</v>
      </c>
      <c r="M90" s="510"/>
      <c r="N90" s="456"/>
    </row>
    <row r="91" spans="5:14" s="499" customFormat="1" ht="15">
      <c r="E91" s="456" t="s">
        <v>410</v>
      </c>
      <c r="F91" s="526">
        <f>ACTIVITIES!L184/103.25</f>
        <v>0</v>
      </c>
      <c r="G91" s="527">
        <f>ACTIVITIES!D184+ACTIVITIES!E184</f>
        <v>2000</v>
      </c>
      <c r="H91" s="522">
        <f t="shared" si="11"/>
        <v>2000</v>
      </c>
      <c r="I91" s="516">
        <f t="shared" si="12"/>
        <v>0</v>
      </c>
      <c r="J91" s="517">
        <f t="shared" si="13"/>
        <v>2000</v>
      </c>
      <c r="K91" s="518">
        <f t="shared" si="6"/>
        <v>2000</v>
      </c>
      <c r="L91" s="549" t="s">
        <v>446</v>
      </c>
      <c r="M91" s="510"/>
      <c r="N91" s="456"/>
    </row>
    <row r="92" spans="5:14" s="499" customFormat="1" ht="29.25">
      <c r="E92" s="456" t="s">
        <v>411</v>
      </c>
      <c r="F92" s="526">
        <f>ACTIVITIES!L187/103.25</f>
        <v>71670.70217917676</v>
      </c>
      <c r="G92" s="527">
        <f>ACTIVITIES!D187+ACTIVITIES!E187</f>
        <v>74000</v>
      </c>
      <c r="H92" s="522">
        <f t="shared" si="11"/>
        <v>2329.297820823238</v>
      </c>
      <c r="I92" s="516">
        <f t="shared" si="12"/>
        <v>71670.70217917676</v>
      </c>
      <c r="J92" s="517">
        <f t="shared" si="13"/>
        <v>74000</v>
      </c>
      <c r="K92" s="518">
        <f t="shared" si="6"/>
        <v>2329.297820823238</v>
      </c>
      <c r="L92" s="583" t="s">
        <v>467</v>
      </c>
      <c r="M92" s="510"/>
      <c r="N92" s="456"/>
    </row>
    <row r="93" spans="5:14" s="499" customFormat="1" ht="30">
      <c r="E93" s="534" t="s">
        <v>412</v>
      </c>
      <c r="F93" s="526">
        <f>+ACTIVITIES!L192/103.25</f>
        <v>3585.47215496368</v>
      </c>
      <c r="G93" s="527">
        <f>ACTIVITIES!D191+ACTIVITIES!E191</f>
        <v>4000</v>
      </c>
      <c r="H93" s="522">
        <f>G93-F93</f>
        <v>414.52784503631983</v>
      </c>
      <c r="I93" s="516">
        <f t="shared" si="12"/>
        <v>3585.47215496368</v>
      </c>
      <c r="J93" s="517">
        <f t="shared" si="13"/>
        <v>4000</v>
      </c>
      <c r="K93" s="518">
        <f>H93</f>
        <v>414.52784503631983</v>
      </c>
      <c r="L93" s="369"/>
      <c r="M93" s="510"/>
      <c r="N93" s="456"/>
    </row>
    <row r="94" spans="5:12" ht="15">
      <c r="E94" s="455"/>
      <c r="F94" s="455"/>
      <c r="G94" s="455"/>
      <c r="H94" s="455"/>
      <c r="I94" s="455"/>
      <c r="J94" s="455"/>
      <c r="K94" s="455"/>
      <c r="L94" s="369"/>
    </row>
    <row r="95" spans="5:14" s="499" customFormat="1" ht="15">
      <c r="E95" s="406" t="s">
        <v>14</v>
      </c>
      <c r="F95" s="528">
        <f>SUM(F82:F93)</f>
        <v>81769.9176755448</v>
      </c>
      <c r="G95" s="528">
        <f>SUM(G82:G93)</f>
        <v>450356</v>
      </c>
      <c r="H95" s="532">
        <f t="shared" si="11"/>
        <v>368586.0823244552</v>
      </c>
      <c r="I95" s="530">
        <f t="shared" si="12"/>
        <v>81769.9176755448</v>
      </c>
      <c r="J95" s="535">
        <f t="shared" si="13"/>
        <v>450356</v>
      </c>
      <c r="K95" s="536">
        <f>H95</f>
        <v>368586.0823244552</v>
      </c>
      <c r="L95" s="456"/>
      <c r="M95" s="510"/>
      <c r="N95" s="456"/>
    </row>
    <row r="96" spans="5:14" s="499" customFormat="1" ht="15">
      <c r="E96" s="537"/>
      <c r="F96" s="538"/>
      <c r="G96" s="538"/>
      <c r="H96" s="539"/>
      <c r="I96" s="539"/>
      <c r="J96" s="539"/>
      <c r="K96" s="539"/>
      <c r="L96" s="456"/>
      <c r="M96" s="510"/>
      <c r="N96" s="456"/>
    </row>
    <row r="97" spans="5:14" s="499" customFormat="1" ht="15">
      <c r="E97" s="511" t="s">
        <v>22</v>
      </c>
      <c r="F97" s="528">
        <f>F48+F74+F80+F95</f>
        <v>187404.9104116223</v>
      </c>
      <c r="G97" s="528">
        <f>G48+G74+G80+G95</f>
        <v>814206</v>
      </c>
      <c r="H97" s="531">
        <f>H48+H74+H80+H95</f>
        <v>626801.0895883777</v>
      </c>
      <c r="I97" s="530">
        <f>F97</f>
        <v>187404.9104116223</v>
      </c>
      <c r="J97" s="530">
        <f>G97</f>
        <v>814206</v>
      </c>
      <c r="K97" s="529">
        <f>H97</f>
        <v>626801.0895883777</v>
      </c>
      <c r="L97" s="456"/>
      <c r="M97" s="510"/>
      <c r="N97" s="456"/>
    </row>
    <row r="98" spans="7:14" s="499" customFormat="1" ht="15">
      <c r="G98" s="504"/>
      <c r="I98" s="505"/>
      <c r="J98" s="505"/>
      <c r="K98" s="505"/>
      <c r="L98" s="505"/>
      <c r="M98" s="506"/>
      <c r="N98" s="506"/>
    </row>
    <row r="99" spans="7:15" s="499" customFormat="1" ht="15">
      <c r="G99" s="350"/>
      <c r="H99" s="350"/>
      <c r="I99" s="350"/>
      <c r="J99" s="350"/>
      <c r="K99" s="350"/>
      <c r="L99" s="350"/>
      <c r="M99" s="350"/>
      <c r="N99" s="350"/>
      <c r="O99" s="350"/>
    </row>
    <row r="100" spans="5:15" s="499" customFormat="1" ht="29.25">
      <c r="E100" s="507" t="s">
        <v>437</v>
      </c>
      <c r="G100" s="350"/>
      <c r="H100" s="350"/>
      <c r="I100" s="350"/>
      <c r="J100" s="350"/>
      <c r="K100" s="350"/>
      <c r="L100" s="350"/>
      <c r="M100" s="350"/>
      <c r="N100" s="350"/>
      <c r="O100" s="350"/>
    </row>
    <row r="101" spans="5:15" ht="15">
      <c r="E101" s="458"/>
      <c r="F101" s="459"/>
      <c r="G101" s="459"/>
      <c r="H101" s="460"/>
      <c r="I101" s="457"/>
      <c r="J101" s="457"/>
      <c r="K101" s="457"/>
      <c r="L101" s="457"/>
      <c r="M101" s="457"/>
      <c r="N101" s="457"/>
      <c r="O101" s="457"/>
    </row>
    <row r="102" spans="5:15" ht="15">
      <c r="E102" s="458"/>
      <c r="F102" s="459"/>
      <c r="G102" s="459"/>
      <c r="H102" s="460"/>
      <c r="I102" s="457"/>
      <c r="J102" s="457"/>
      <c r="K102" s="457"/>
      <c r="L102" s="457"/>
      <c r="M102" s="457"/>
      <c r="N102" s="457"/>
      <c r="O102" s="457"/>
    </row>
    <row r="103" spans="7:15" ht="15">
      <c r="G103" s="457"/>
      <c r="H103" s="457"/>
      <c r="I103" s="457"/>
      <c r="J103" s="457"/>
      <c r="K103" s="457"/>
      <c r="L103" s="457"/>
      <c r="M103" s="457"/>
      <c r="N103" s="457"/>
      <c r="O103" s="457"/>
    </row>
    <row r="104" ht="15">
      <c r="E104" s="40" t="s">
        <v>448</v>
      </c>
    </row>
    <row r="105" ht="15">
      <c r="E105" s="437" t="s">
        <v>451</v>
      </c>
    </row>
    <row r="107" ht="15">
      <c r="E107" s="40" t="s">
        <v>454</v>
      </c>
    </row>
    <row r="108" ht="15.75">
      <c r="E108" s="555" t="s">
        <v>450</v>
      </c>
    </row>
    <row r="110" ht="15">
      <c r="E110" s="40" t="s">
        <v>453</v>
      </c>
    </row>
    <row r="111" ht="15">
      <c r="E111" s="437" t="s">
        <v>449</v>
      </c>
    </row>
  </sheetData>
  <sheetProtection/>
  <mergeCells count="9">
    <mergeCell ref="F18:H18"/>
    <mergeCell ref="I18:K18"/>
    <mergeCell ref="E8:M8"/>
    <mergeCell ref="E9:M9"/>
    <mergeCell ref="E10:M10"/>
    <mergeCell ref="E11:M11"/>
    <mergeCell ref="E12:M12"/>
    <mergeCell ref="F17:H17"/>
    <mergeCell ref="I17:K17"/>
  </mergeCells>
  <printOptions/>
  <pageMargins left="0.51" right="0.73" top="0.43" bottom="0.36" header="0.21" footer="0.18"/>
  <pageSetup fitToHeight="1" fitToWidth="1" horizontalDpi="600" verticalDpi="600" orientation="landscape" paperSize="9" scale="2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D3:O105"/>
  <sheetViews>
    <sheetView zoomScale="102" zoomScaleNormal="102" zoomScaleSheetLayoutView="99" workbookViewId="0" topLeftCell="E15">
      <selection activeCell="E107" sqref="E107"/>
    </sheetView>
  </sheetViews>
  <sheetFormatPr defaultColWidth="8.8515625" defaultRowHeight="12.75"/>
  <cols>
    <col min="1" max="3" width="8.8515625" style="569" customWidth="1"/>
    <col min="4" max="4" width="2.421875" style="569" customWidth="1"/>
    <col min="5" max="5" width="69.00390625" style="569" bestFit="1" customWidth="1"/>
    <col min="6" max="6" width="13.140625" style="569" bestFit="1" customWidth="1"/>
    <col min="7" max="7" width="15.421875" style="569" bestFit="1" customWidth="1"/>
    <col min="8" max="9" width="13.140625" style="569" bestFit="1" customWidth="1"/>
    <col min="10" max="11" width="13.57421875" style="569" customWidth="1"/>
    <col min="12" max="12" width="26.00390625" style="571" customWidth="1"/>
    <col min="13" max="13" width="10.8515625" style="569" bestFit="1" customWidth="1"/>
    <col min="14" max="16384" width="8.8515625" style="569" customWidth="1"/>
  </cols>
  <sheetData>
    <row r="3" ht="15">
      <c r="E3" s="570"/>
    </row>
    <row r="4" spans="5:14" ht="15.75" thickBot="1">
      <c r="E4" s="572"/>
      <c r="F4" s="573"/>
      <c r="G4" s="573"/>
      <c r="H4" s="573"/>
      <c r="I4" s="573"/>
      <c r="J4" s="573"/>
      <c r="K4" s="573"/>
      <c r="L4" s="574"/>
      <c r="M4" s="573"/>
      <c r="N4" s="573"/>
    </row>
    <row r="8" spans="4:13" ht="15">
      <c r="D8" s="575"/>
      <c r="E8" s="645"/>
      <c r="F8" s="645"/>
      <c r="G8" s="645"/>
      <c r="H8" s="645"/>
      <c r="I8" s="645"/>
      <c r="J8" s="645"/>
      <c r="K8" s="645"/>
      <c r="L8" s="645"/>
      <c r="M8" s="645"/>
    </row>
    <row r="9" spans="5:13" ht="15">
      <c r="E9" s="647" t="s">
        <v>43</v>
      </c>
      <c r="F9" s="647"/>
      <c r="G9" s="647"/>
      <c r="H9" s="647"/>
      <c r="I9" s="647"/>
      <c r="J9" s="647"/>
      <c r="K9" s="647"/>
      <c r="L9" s="647"/>
      <c r="M9" s="563"/>
    </row>
    <row r="10" spans="5:13" ht="15">
      <c r="E10" s="647" t="s">
        <v>432</v>
      </c>
      <c r="F10" s="647"/>
      <c r="G10" s="647"/>
      <c r="H10" s="647"/>
      <c r="I10" s="647"/>
      <c r="J10" s="647"/>
      <c r="K10" s="647"/>
      <c r="L10" s="647"/>
      <c r="M10" s="563"/>
    </row>
    <row r="11" spans="5:13" ht="15">
      <c r="E11" s="647" t="s">
        <v>21</v>
      </c>
      <c r="F11" s="647"/>
      <c r="G11" s="647"/>
      <c r="H11" s="647"/>
      <c r="I11" s="647"/>
      <c r="J11" s="647"/>
      <c r="K11" s="647"/>
      <c r="L11" s="647"/>
      <c r="M11" s="563"/>
    </row>
    <row r="12" spans="5:13" ht="15">
      <c r="E12" s="647" t="s">
        <v>322</v>
      </c>
      <c r="F12" s="647"/>
      <c r="G12" s="647"/>
      <c r="H12" s="647"/>
      <c r="I12" s="647"/>
      <c r="J12" s="647"/>
      <c r="K12" s="647"/>
      <c r="L12" s="647"/>
      <c r="M12" s="563"/>
    </row>
    <row r="13" spans="5:14" ht="14.25">
      <c r="E13" s="577"/>
      <c r="F13" s="577"/>
      <c r="G13" s="577"/>
      <c r="H13" s="577"/>
      <c r="I13" s="577"/>
      <c r="J13" s="577"/>
      <c r="K13" s="577"/>
      <c r="L13" s="578"/>
      <c r="M13" s="579"/>
      <c r="N13" s="579"/>
    </row>
    <row r="14" spans="5:14" ht="14.25">
      <c r="E14" s="577"/>
      <c r="F14" s="646"/>
      <c r="G14" s="646"/>
      <c r="H14" s="646"/>
      <c r="I14" s="646"/>
      <c r="J14" s="646"/>
      <c r="K14" s="646"/>
      <c r="L14" s="578"/>
      <c r="M14" s="580"/>
      <c r="N14" s="580"/>
    </row>
    <row r="15" spans="5:14" ht="15">
      <c r="E15" s="576" t="s">
        <v>1</v>
      </c>
      <c r="F15" s="646" t="s">
        <v>321</v>
      </c>
      <c r="G15" s="646"/>
      <c r="H15" s="646"/>
      <c r="I15" s="646" t="s">
        <v>18</v>
      </c>
      <c r="J15" s="646"/>
      <c r="K15" s="646"/>
      <c r="L15" s="578" t="s">
        <v>15</v>
      </c>
      <c r="M15" s="580" t="s">
        <v>16</v>
      </c>
      <c r="N15" s="580" t="s">
        <v>10</v>
      </c>
    </row>
    <row r="16" spans="5:14" ht="14.25">
      <c r="E16" s="581"/>
      <c r="F16" s="581"/>
      <c r="G16" s="581"/>
      <c r="H16" s="581"/>
      <c r="I16" s="577"/>
      <c r="J16" s="577" t="s">
        <v>17</v>
      </c>
      <c r="K16" s="581"/>
      <c r="L16" s="578" t="s">
        <v>7</v>
      </c>
      <c r="M16" s="580" t="s">
        <v>9</v>
      </c>
      <c r="N16" s="580" t="s">
        <v>11</v>
      </c>
    </row>
    <row r="17" spans="5:14" ht="14.25">
      <c r="E17" s="582"/>
      <c r="F17" s="577" t="s">
        <v>424</v>
      </c>
      <c r="G17" s="577" t="s">
        <v>430</v>
      </c>
      <c r="H17" s="577" t="s">
        <v>431</v>
      </c>
      <c r="I17" s="577" t="s">
        <v>424</v>
      </c>
      <c r="J17" s="577" t="s">
        <v>430</v>
      </c>
      <c r="K17" s="577" t="s">
        <v>431</v>
      </c>
      <c r="L17" s="583"/>
      <c r="M17" s="584"/>
      <c r="N17" s="584"/>
    </row>
    <row r="18" spans="5:14" ht="15">
      <c r="E18" s="585" t="s">
        <v>33</v>
      </c>
      <c r="F18" s="586" t="s">
        <v>422</v>
      </c>
      <c r="G18" s="586" t="s">
        <v>422</v>
      </c>
      <c r="H18" s="586" t="s">
        <v>422</v>
      </c>
      <c r="I18" s="586" t="s">
        <v>422</v>
      </c>
      <c r="J18" s="586" t="s">
        <v>422</v>
      </c>
      <c r="K18" s="586" t="s">
        <v>422</v>
      </c>
      <c r="L18" s="583"/>
      <c r="M18" s="584"/>
      <c r="N18" s="587"/>
    </row>
    <row r="19" spans="5:14" ht="15">
      <c r="E19" s="585"/>
      <c r="F19" s="582"/>
      <c r="G19" s="582"/>
      <c r="H19" s="582"/>
      <c r="I19" s="582"/>
      <c r="J19" s="582"/>
      <c r="K19" s="582"/>
      <c r="L19" s="583"/>
      <c r="M19" s="584"/>
      <c r="N19" s="587"/>
    </row>
    <row r="20" spans="4:14" ht="15">
      <c r="D20" s="569">
        <v>1</v>
      </c>
      <c r="E20" s="564" t="s">
        <v>325</v>
      </c>
      <c r="F20" s="588">
        <f>F45</f>
        <v>8316955</v>
      </c>
      <c r="G20" s="588">
        <f>G45</f>
        <v>22869875</v>
      </c>
      <c r="H20" s="589">
        <f aca="true" t="shared" si="0" ref="H20:H26">G20-F20</f>
        <v>14552920</v>
      </c>
      <c r="I20" s="588">
        <f>F20</f>
        <v>8316955</v>
      </c>
      <c r="J20" s="588">
        <f>G20</f>
        <v>22869875</v>
      </c>
      <c r="K20" s="589">
        <f>H20</f>
        <v>14552920</v>
      </c>
      <c r="L20" s="583"/>
      <c r="M20" s="584"/>
      <c r="N20" s="587"/>
    </row>
    <row r="21" spans="4:14" ht="15">
      <c r="D21" s="569">
        <v>2</v>
      </c>
      <c r="E21" s="566" t="s">
        <v>326</v>
      </c>
      <c r="F21" s="588">
        <f>F71</f>
        <v>2502158</v>
      </c>
      <c r="G21" s="588">
        <f>G71</f>
        <v>14181387.5</v>
      </c>
      <c r="H21" s="589">
        <f t="shared" si="0"/>
        <v>11679229.5</v>
      </c>
      <c r="I21" s="588">
        <f aca="true" t="shared" si="1" ref="I21:I93">F21</f>
        <v>2502158</v>
      </c>
      <c r="J21" s="588">
        <f aca="true" t="shared" si="2" ref="J21:J93">G21</f>
        <v>14181387.5</v>
      </c>
      <c r="K21" s="589">
        <f aca="true" t="shared" si="3" ref="K21:K93">H21</f>
        <v>11679229.5</v>
      </c>
      <c r="L21" s="583"/>
      <c r="M21" s="584"/>
      <c r="N21" s="587"/>
    </row>
    <row r="22" spans="4:14" ht="15">
      <c r="D22" s="569">
        <v>3</v>
      </c>
      <c r="E22" s="566" t="s">
        <v>328</v>
      </c>
      <c r="F22" s="588">
        <f>F77</f>
        <v>87700</v>
      </c>
      <c r="G22" s="588">
        <f>G77</f>
        <v>516250</v>
      </c>
      <c r="H22" s="589">
        <f t="shared" si="0"/>
        <v>428550</v>
      </c>
      <c r="I22" s="588">
        <f t="shared" si="1"/>
        <v>87700</v>
      </c>
      <c r="J22" s="588">
        <f t="shared" si="2"/>
        <v>516250</v>
      </c>
      <c r="K22" s="589">
        <f t="shared" si="3"/>
        <v>428550</v>
      </c>
      <c r="L22" s="583"/>
      <c r="M22" s="584"/>
      <c r="N22" s="587"/>
    </row>
    <row r="23" spans="4:14" ht="15">
      <c r="D23" s="569">
        <v>4</v>
      </c>
      <c r="E23" s="566" t="s">
        <v>329</v>
      </c>
      <c r="F23" s="588">
        <f>F91</f>
        <v>8442744</v>
      </c>
      <c r="G23" s="588">
        <f>G91</f>
        <v>46499257</v>
      </c>
      <c r="H23" s="589">
        <f t="shared" si="0"/>
        <v>38056513</v>
      </c>
      <c r="I23" s="588">
        <f t="shared" si="1"/>
        <v>8442744</v>
      </c>
      <c r="J23" s="588">
        <f t="shared" si="2"/>
        <v>46499257</v>
      </c>
      <c r="K23" s="589">
        <f t="shared" si="3"/>
        <v>38056513</v>
      </c>
      <c r="L23" s="583"/>
      <c r="M23" s="584"/>
      <c r="N23" s="587"/>
    </row>
    <row r="24" spans="4:14" ht="45">
      <c r="D24" s="569">
        <v>5</v>
      </c>
      <c r="E24" s="564" t="s">
        <v>330</v>
      </c>
      <c r="F24" s="588">
        <v>0</v>
      </c>
      <c r="G24" s="588">
        <f>G98</f>
        <v>0</v>
      </c>
      <c r="H24" s="589">
        <f t="shared" si="0"/>
        <v>0</v>
      </c>
      <c r="I24" s="588">
        <f t="shared" si="1"/>
        <v>0</v>
      </c>
      <c r="J24" s="588">
        <f t="shared" si="2"/>
        <v>0</v>
      </c>
      <c r="K24" s="589">
        <f t="shared" si="3"/>
        <v>0</v>
      </c>
      <c r="L24" s="583"/>
      <c r="M24" s="584"/>
      <c r="N24" s="587"/>
    </row>
    <row r="25" spans="4:14" ht="15">
      <c r="D25" s="569">
        <v>6</v>
      </c>
      <c r="E25" s="566" t="s">
        <v>331</v>
      </c>
      <c r="F25" s="588">
        <v>0</v>
      </c>
      <c r="G25" s="588">
        <f>G99</f>
        <v>0</v>
      </c>
      <c r="H25" s="589">
        <f t="shared" si="0"/>
        <v>0</v>
      </c>
      <c r="I25" s="588">
        <f t="shared" si="1"/>
        <v>0</v>
      </c>
      <c r="J25" s="588">
        <f t="shared" si="2"/>
        <v>0</v>
      </c>
      <c r="K25" s="589">
        <f t="shared" si="3"/>
        <v>0</v>
      </c>
      <c r="L25" s="583"/>
      <c r="M25" s="584"/>
      <c r="N25" s="587"/>
    </row>
    <row r="26" spans="4:14" ht="15">
      <c r="D26" s="569">
        <v>7</v>
      </c>
      <c r="E26" s="566" t="s">
        <v>332</v>
      </c>
      <c r="F26" s="588">
        <v>0</v>
      </c>
      <c r="G26" s="588">
        <f>G100</f>
        <v>0</v>
      </c>
      <c r="H26" s="589">
        <f t="shared" si="0"/>
        <v>0</v>
      </c>
      <c r="I26" s="588">
        <f t="shared" si="1"/>
        <v>0</v>
      </c>
      <c r="J26" s="588">
        <f t="shared" si="2"/>
        <v>0</v>
      </c>
      <c r="K26" s="589">
        <f t="shared" si="3"/>
        <v>0</v>
      </c>
      <c r="L26" s="583"/>
      <c r="M26" s="584"/>
      <c r="N26" s="587"/>
    </row>
    <row r="27" spans="5:14" ht="15.75" thickBot="1">
      <c r="E27" s="585"/>
      <c r="F27" s="588"/>
      <c r="G27" s="588"/>
      <c r="H27" s="582"/>
      <c r="I27" s="588"/>
      <c r="J27" s="588"/>
      <c r="K27" s="589"/>
      <c r="L27" s="583"/>
      <c r="M27" s="584"/>
      <c r="N27" s="587"/>
    </row>
    <row r="28" spans="5:14" ht="15.75" thickBot="1">
      <c r="E28" s="590" t="s">
        <v>14</v>
      </c>
      <c r="F28" s="591">
        <f>SUM(F20:F27)</f>
        <v>19349557</v>
      </c>
      <c r="G28" s="591">
        <f>SUM(G20:G27)</f>
        <v>84066769.5</v>
      </c>
      <c r="H28" s="592">
        <f>SUM(H20:H27)</f>
        <v>64717212.5</v>
      </c>
      <c r="I28" s="593">
        <f t="shared" si="1"/>
        <v>19349557</v>
      </c>
      <c r="J28" s="593">
        <f t="shared" si="2"/>
        <v>84066769.5</v>
      </c>
      <c r="K28" s="592">
        <f t="shared" si="3"/>
        <v>64717212.5</v>
      </c>
      <c r="L28" s="583"/>
      <c r="M28" s="594"/>
      <c r="N28" s="595"/>
    </row>
    <row r="29" spans="5:14" ht="14.25">
      <c r="E29" s="596"/>
      <c r="F29" s="597"/>
      <c r="G29" s="597"/>
      <c r="H29" s="598"/>
      <c r="I29" s="598"/>
      <c r="J29" s="598"/>
      <c r="K29" s="598"/>
      <c r="L29" s="599"/>
      <c r="M29" s="600"/>
      <c r="N29" s="600"/>
    </row>
    <row r="30" spans="5:14" ht="15">
      <c r="E30" s="564" t="s">
        <v>325</v>
      </c>
      <c r="F30" s="407"/>
      <c r="G30" s="407"/>
      <c r="H30" s="589"/>
      <c r="I30" s="588"/>
      <c r="J30" s="588"/>
      <c r="K30" s="589"/>
      <c r="L30" s="583"/>
      <c r="M30" s="601"/>
      <c r="N30" s="582"/>
    </row>
    <row r="31" spans="5:14" ht="14.25">
      <c r="E31" s="583" t="s">
        <v>369</v>
      </c>
      <c r="F31" s="602">
        <f>ACTIVITIES!L9</f>
        <v>431600</v>
      </c>
      <c r="G31" s="407">
        <f>(ACTIVITIES!D9+ACTIVITIES!E9)*103.25</f>
        <v>206500</v>
      </c>
      <c r="H31" s="589">
        <f aca="true" t="shared" si="4" ref="H31:H45">G31-F31</f>
        <v>-225100</v>
      </c>
      <c r="I31" s="588">
        <f t="shared" si="1"/>
        <v>431600</v>
      </c>
      <c r="J31" s="588">
        <f t="shared" si="2"/>
        <v>206500</v>
      </c>
      <c r="K31" s="589">
        <f t="shared" si="3"/>
        <v>-225100</v>
      </c>
      <c r="L31" s="583"/>
      <c r="M31" s="601"/>
      <c r="N31" s="582"/>
    </row>
    <row r="32" spans="5:14" ht="14.25">
      <c r="E32" s="583" t="s">
        <v>370</v>
      </c>
      <c r="F32" s="407">
        <f>ACTIVITIES!L10</f>
        <v>233900</v>
      </c>
      <c r="G32" s="407">
        <f>(ACTIVITIES!D10+ACTIVITIES!E10)*103.25</f>
        <v>309750</v>
      </c>
      <c r="H32" s="589">
        <f t="shared" si="4"/>
        <v>75850</v>
      </c>
      <c r="I32" s="588">
        <f t="shared" si="1"/>
        <v>233900</v>
      </c>
      <c r="J32" s="588">
        <f t="shared" si="2"/>
        <v>309750</v>
      </c>
      <c r="K32" s="589">
        <f t="shared" si="3"/>
        <v>75850</v>
      </c>
      <c r="L32" s="583"/>
      <c r="M32" s="601"/>
      <c r="N32" s="582"/>
    </row>
    <row r="33" spans="5:14" ht="14.25">
      <c r="E33" s="583" t="s">
        <v>371</v>
      </c>
      <c r="F33" s="407">
        <f>ACTIVITIES!L13:L13</f>
        <v>1095785</v>
      </c>
      <c r="G33" s="407">
        <f>(ACTIVITIES!D13+ACTIVITIES!E13)*103.25</f>
        <v>1548750</v>
      </c>
      <c r="H33" s="589">
        <f t="shared" si="4"/>
        <v>452965</v>
      </c>
      <c r="I33" s="588">
        <f t="shared" si="1"/>
        <v>1095785</v>
      </c>
      <c r="J33" s="588">
        <f t="shared" si="2"/>
        <v>1548750</v>
      </c>
      <c r="K33" s="589">
        <f t="shared" si="3"/>
        <v>452965</v>
      </c>
      <c r="L33" s="583"/>
      <c r="M33" s="601"/>
      <c r="N33" s="582"/>
    </row>
    <row r="34" spans="5:14" ht="14.25">
      <c r="E34" s="583" t="s">
        <v>372</v>
      </c>
      <c r="F34" s="407">
        <f>ACTIVITIES!L14</f>
        <v>518000</v>
      </c>
      <c r="G34" s="407">
        <f>(ACTIVITIES!D14+ACTIVITIES!E14)*103.25</f>
        <v>640150</v>
      </c>
      <c r="H34" s="589">
        <f t="shared" si="4"/>
        <v>122150</v>
      </c>
      <c r="I34" s="588">
        <f t="shared" si="1"/>
        <v>518000</v>
      </c>
      <c r="J34" s="588">
        <f t="shared" si="2"/>
        <v>640150</v>
      </c>
      <c r="K34" s="589">
        <f t="shared" si="3"/>
        <v>122150</v>
      </c>
      <c r="L34" s="583"/>
      <c r="M34" s="601"/>
      <c r="N34" s="582"/>
    </row>
    <row r="35" spans="5:14" ht="14.25">
      <c r="E35" s="583" t="s">
        <v>373</v>
      </c>
      <c r="F35" s="407">
        <f>ACTIVITIES!L17</f>
        <v>347070</v>
      </c>
      <c r="G35" s="407">
        <f>(ACTIVITIES!D17+ACTIVITIES!E17)*103.25</f>
        <v>309750</v>
      </c>
      <c r="H35" s="589">
        <f t="shared" si="4"/>
        <v>-37320</v>
      </c>
      <c r="I35" s="588">
        <f t="shared" si="1"/>
        <v>347070</v>
      </c>
      <c r="J35" s="588">
        <f t="shared" si="2"/>
        <v>309750</v>
      </c>
      <c r="K35" s="589">
        <f t="shared" si="3"/>
        <v>-37320</v>
      </c>
      <c r="L35" s="583"/>
      <c r="M35" s="601"/>
      <c r="N35" s="582"/>
    </row>
    <row r="36" spans="5:14" ht="15">
      <c r="E36" s="565" t="s">
        <v>455</v>
      </c>
      <c r="F36" s="565"/>
      <c r="G36" s="565"/>
      <c r="H36" s="565"/>
      <c r="I36" s="565"/>
      <c r="J36" s="565"/>
      <c r="K36" s="565"/>
      <c r="L36" s="583"/>
      <c r="M36" s="601"/>
      <c r="N36" s="582"/>
    </row>
    <row r="37" spans="5:14" ht="42.75">
      <c r="E37" s="583" t="s">
        <v>374</v>
      </c>
      <c r="F37" s="602">
        <f>ACTIVITIES!L20</f>
        <v>0</v>
      </c>
      <c r="G37" s="407">
        <f>(ACTIVITIES!D20+ACTIVITIES!E20)*103.25</f>
        <v>11357500</v>
      </c>
      <c r="H37" s="589">
        <f t="shared" si="4"/>
        <v>11357500</v>
      </c>
      <c r="I37" s="588">
        <f t="shared" si="1"/>
        <v>0</v>
      </c>
      <c r="J37" s="588">
        <f t="shared" si="2"/>
        <v>11357500</v>
      </c>
      <c r="K37" s="589">
        <f t="shared" si="3"/>
        <v>11357500</v>
      </c>
      <c r="L37" s="583" t="s">
        <v>440</v>
      </c>
      <c r="M37" s="601"/>
      <c r="N37" s="582"/>
    </row>
    <row r="38" spans="5:14" ht="57">
      <c r="E38" s="583" t="s">
        <v>375</v>
      </c>
      <c r="F38" s="407">
        <f>ACTIVITIES!L21</f>
        <v>1574655</v>
      </c>
      <c r="G38" s="407">
        <f>(ACTIVITIES!D21+ACTIVITIES!E21)*103.25</f>
        <v>5162500</v>
      </c>
      <c r="H38" s="589">
        <f t="shared" si="4"/>
        <v>3587845</v>
      </c>
      <c r="I38" s="588">
        <f t="shared" si="1"/>
        <v>1574655</v>
      </c>
      <c r="J38" s="588">
        <f>G38</f>
        <v>5162500</v>
      </c>
      <c r="K38" s="589">
        <f t="shared" si="3"/>
        <v>3587845</v>
      </c>
      <c r="L38" s="583" t="s">
        <v>452</v>
      </c>
      <c r="M38" s="601"/>
      <c r="N38" s="582"/>
    </row>
    <row r="39" spans="5:14" ht="30">
      <c r="E39" s="565" t="s">
        <v>456</v>
      </c>
      <c r="F39" s="565"/>
      <c r="G39" s="565"/>
      <c r="H39" s="565"/>
      <c r="I39" s="565"/>
      <c r="J39" s="565"/>
      <c r="K39" s="565"/>
      <c r="L39" s="565"/>
      <c r="M39" s="616"/>
      <c r="N39" s="582"/>
    </row>
    <row r="40" spans="5:14" ht="28.5">
      <c r="E40" s="583" t="s">
        <v>376</v>
      </c>
      <c r="F40" s="407">
        <f>ACTIVITIES!L26</f>
        <v>620175</v>
      </c>
      <c r="G40" s="407">
        <f>(ACTIVITIES!D26+ACTIVITIES!E26)*103.25</f>
        <v>846650</v>
      </c>
      <c r="H40" s="589">
        <f t="shared" si="4"/>
        <v>226475</v>
      </c>
      <c r="I40" s="588">
        <f t="shared" si="1"/>
        <v>620175</v>
      </c>
      <c r="J40" s="588">
        <f>G40</f>
        <v>846650</v>
      </c>
      <c r="K40" s="589">
        <f t="shared" si="3"/>
        <v>226475</v>
      </c>
      <c r="L40" s="583" t="s">
        <v>439</v>
      </c>
      <c r="M40" s="601"/>
      <c r="N40" s="582"/>
    </row>
    <row r="41" spans="5:14" ht="14.25">
      <c r="E41" s="583" t="s">
        <v>377</v>
      </c>
      <c r="F41" s="407">
        <f>ACTIVITIES!L27</f>
        <v>620175</v>
      </c>
      <c r="G41" s="407">
        <f>(ACTIVITIES!D27+ACTIVITIES!E27)*103.25</f>
        <v>826000</v>
      </c>
      <c r="H41" s="589">
        <f t="shared" si="4"/>
        <v>205825</v>
      </c>
      <c r="I41" s="588">
        <f t="shared" si="1"/>
        <v>620175</v>
      </c>
      <c r="J41" s="588">
        <f t="shared" si="2"/>
        <v>826000</v>
      </c>
      <c r="K41" s="589">
        <f t="shared" si="3"/>
        <v>205825</v>
      </c>
      <c r="L41" s="583"/>
      <c r="M41" s="601"/>
      <c r="N41" s="582"/>
    </row>
    <row r="42" spans="5:14" ht="14.25">
      <c r="E42" s="583" t="s">
        <v>378</v>
      </c>
      <c r="F42" s="602">
        <f>ACTIVITIES!L31</f>
        <v>0</v>
      </c>
      <c r="G42" s="407">
        <f>(ACTIVITIES!D32+ACTIVITIES!E32)*103.25</f>
        <v>10325</v>
      </c>
      <c r="H42" s="589">
        <f t="shared" si="4"/>
        <v>10325</v>
      </c>
      <c r="I42" s="588">
        <f t="shared" si="1"/>
        <v>0</v>
      </c>
      <c r="J42" s="588">
        <f t="shared" si="2"/>
        <v>10325</v>
      </c>
      <c r="K42" s="589">
        <f t="shared" si="3"/>
        <v>10325</v>
      </c>
      <c r="L42" s="583"/>
      <c r="M42" s="601"/>
      <c r="N42" s="582"/>
    </row>
    <row r="43" spans="5:14" ht="14.25">
      <c r="E43" s="583" t="s">
        <v>379</v>
      </c>
      <c r="F43" s="407">
        <f>ACTIVITIES!L34</f>
        <v>112600</v>
      </c>
      <c r="G43" s="407">
        <f>(ACTIVITIES!D34+ACTIVITIES!E34)*103.25</f>
        <v>103250</v>
      </c>
      <c r="H43" s="589">
        <f t="shared" si="4"/>
        <v>-9350</v>
      </c>
      <c r="I43" s="588">
        <f t="shared" si="1"/>
        <v>112600</v>
      </c>
      <c r="J43" s="588">
        <f t="shared" si="2"/>
        <v>103250</v>
      </c>
      <c r="K43" s="589">
        <f t="shared" si="3"/>
        <v>-9350</v>
      </c>
      <c r="L43" s="583"/>
      <c r="M43" s="601"/>
      <c r="N43" s="582"/>
    </row>
    <row r="44" spans="5:14" ht="28.5">
      <c r="E44" s="583" t="s">
        <v>380</v>
      </c>
      <c r="F44" s="407">
        <f>ACTIVITIES!L37</f>
        <v>2762995</v>
      </c>
      <c r="G44" s="407">
        <f>(ACTIVITIES!D37+ACTIVITIES!E37)*103.25</f>
        <v>1548750</v>
      </c>
      <c r="H44" s="589">
        <f t="shared" si="4"/>
        <v>-1214245</v>
      </c>
      <c r="I44" s="588">
        <f t="shared" si="1"/>
        <v>2762995</v>
      </c>
      <c r="J44" s="588">
        <f t="shared" si="2"/>
        <v>1548750</v>
      </c>
      <c r="K44" s="589">
        <f t="shared" si="3"/>
        <v>-1214245</v>
      </c>
      <c r="L44" s="583" t="s">
        <v>441</v>
      </c>
      <c r="M44" s="601"/>
      <c r="N44" s="582"/>
    </row>
    <row r="45" spans="5:14" ht="15">
      <c r="E45" s="590" t="s">
        <v>14</v>
      </c>
      <c r="F45" s="603">
        <f>SUM(F31:F44)</f>
        <v>8316955</v>
      </c>
      <c r="G45" s="603">
        <f>SUM(G31:G44)</f>
        <v>22869875</v>
      </c>
      <c r="H45" s="592">
        <f t="shared" si="4"/>
        <v>14552920</v>
      </c>
      <c r="I45" s="593">
        <f t="shared" si="1"/>
        <v>8316955</v>
      </c>
      <c r="J45" s="593">
        <f t="shared" si="2"/>
        <v>22869875</v>
      </c>
      <c r="K45" s="592">
        <f t="shared" si="3"/>
        <v>14552920</v>
      </c>
      <c r="L45" s="583"/>
      <c r="M45" s="601"/>
      <c r="N45" s="582"/>
    </row>
    <row r="46" spans="5:14" ht="15">
      <c r="E46" s="566" t="s">
        <v>326</v>
      </c>
      <c r="F46" s="603"/>
      <c r="G46" s="603"/>
      <c r="H46" s="589"/>
      <c r="I46" s="588"/>
      <c r="J46" s="588"/>
      <c r="K46" s="589"/>
      <c r="L46" s="583"/>
      <c r="M46" s="601"/>
      <c r="N46" s="582"/>
    </row>
    <row r="47" spans="5:14" ht="28.5">
      <c r="E47" s="611" t="s">
        <v>327</v>
      </c>
      <c r="F47" s="407">
        <f>ACTIVITIES!L46</f>
        <v>420000</v>
      </c>
      <c r="G47" s="407">
        <f>(ACTIVITIES!D46+ACTIVITIES!E46)*103.25</f>
        <v>0</v>
      </c>
      <c r="H47" s="589">
        <f aca="true" t="shared" si="5" ref="H47:H56">G47-F47</f>
        <v>-420000</v>
      </c>
      <c r="I47" s="588">
        <f t="shared" si="1"/>
        <v>420000</v>
      </c>
      <c r="J47" s="588">
        <f t="shared" si="2"/>
        <v>0</v>
      </c>
      <c r="K47" s="589">
        <f t="shared" si="3"/>
        <v>-420000</v>
      </c>
      <c r="L47" s="583" t="s">
        <v>462</v>
      </c>
      <c r="M47" s="601"/>
      <c r="N47" s="582"/>
    </row>
    <row r="48" spans="5:14" ht="85.5">
      <c r="E48" s="583" t="s">
        <v>381</v>
      </c>
      <c r="F48" s="602">
        <f>ACTIVITIES!L50</f>
        <v>262500</v>
      </c>
      <c r="G48" s="407">
        <f>(ACTIVITIES!D50+ACTIVITIES!E50)*103.25</f>
        <v>1032500</v>
      </c>
      <c r="H48" s="589">
        <f t="shared" si="5"/>
        <v>770000</v>
      </c>
      <c r="I48" s="588">
        <f t="shared" si="1"/>
        <v>262500</v>
      </c>
      <c r="J48" s="588">
        <f t="shared" si="2"/>
        <v>1032500</v>
      </c>
      <c r="K48" s="589">
        <f t="shared" si="3"/>
        <v>770000</v>
      </c>
      <c r="L48" s="583" t="s">
        <v>463</v>
      </c>
      <c r="M48" s="601"/>
      <c r="N48" s="582"/>
    </row>
    <row r="49" spans="5:14" ht="85.5">
      <c r="E49" s="583" t="s">
        <v>382</v>
      </c>
      <c r="F49" s="407">
        <f>ACTIVITIES!L51</f>
        <v>0</v>
      </c>
      <c r="G49" s="407">
        <f>(ACTIVITIES!D51+ACTIVITIES!E51)*103.25</f>
        <v>516250</v>
      </c>
      <c r="H49" s="589">
        <f t="shared" si="5"/>
        <v>516250</v>
      </c>
      <c r="I49" s="588">
        <f t="shared" si="1"/>
        <v>0</v>
      </c>
      <c r="J49" s="588">
        <f t="shared" si="2"/>
        <v>516250</v>
      </c>
      <c r="K49" s="589">
        <f t="shared" si="3"/>
        <v>516250</v>
      </c>
      <c r="L49" s="583" t="s">
        <v>463</v>
      </c>
      <c r="M49" s="601"/>
      <c r="N49" s="582"/>
    </row>
    <row r="50" spans="5:14" ht="85.5">
      <c r="E50" s="583" t="s">
        <v>383</v>
      </c>
      <c r="F50" s="407">
        <f>ACTIVITIES!L52</f>
        <v>0</v>
      </c>
      <c r="G50" s="407">
        <f>(ACTIVITIES!D52+ACTIVITIES!E52)*103.25</f>
        <v>3502240</v>
      </c>
      <c r="H50" s="589">
        <f t="shared" si="5"/>
        <v>3502240</v>
      </c>
      <c r="I50" s="588">
        <f t="shared" si="1"/>
        <v>0</v>
      </c>
      <c r="J50" s="588">
        <f t="shared" si="2"/>
        <v>3502240</v>
      </c>
      <c r="K50" s="589">
        <f t="shared" si="3"/>
        <v>3502240</v>
      </c>
      <c r="L50" s="583" t="s">
        <v>463</v>
      </c>
      <c r="M50" s="601"/>
      <c r="N50" s="582"/>
    </row>
    <row r="51" spans="5:14" ht="86.25">
      <c r="E51" s="612" t="s">
        <v>457</v>
      </c>
      <c r="F51" s="407"/>
      <c r="G51" s="407"/>
      <c r="H51" s="589"/>
      <c r="I51" s="588"/>
      <c r="J51" s="588"/>
      <c r="K51" s="589"/>
      <c r="L51" s="583" t="s">
        <v>463</v>
      </c>
      <c r="M51" s="601"/>
      <c r="N51" s="582"/>
    </row>
    <row r="52" spans="5:14" ht="85.5">
      <c r="E52" s="583" t="s">
        <v>384</v>
      </c>
      <c r="F52" s="407">
        <f>ACTIVITIES!L55</f>
        <v>0</v>
      </c>
      <c r="G52" s="407">
        <f>(ACTIVITIES!D55+ACTIVITIES!E55)*103.25</f>
        <v>1445500</v>
      </c>
      <c r="H52" s="589">
        <f t="shared" si="5"/>
        <v>1445500</v>
      </c>
      <c r="I52" s="588">
        <f t="shared" si="1"/>
        <v>0</v>
      </c>
      <c r="J52" s="588">
        <f t="shared" si="2"/>
        <v>1445500</v>
      </c>
      <c r="K52" s="589">
        <f t="shared" si="3"/>
        <v>1445500</v>
      </c>
      <c r="L52" s="583" t="s">
        <v>463</v>
      </c>
      <c r="M52" s="601"/>
      <c r="N52" s="582"/>
    </row>
    <row r="53" spans="5:14" ht="85.5">
      <c r="E53" s="583" t="s">
        <v>385</v>
      </c>
      <c r="F53" s="407">
        <f>ACTIVITIES!L56</f>
        <v>0</v>
      </c>
      <c r="G53" s="407">
        <f>(ACTIVITIES!D56+ACTIVITIES!E56)*103.25</f>
        <v>413000</v>
      </c>
      <c r="H53" s="589">
        <f t="shared" si="5"/>
        <v>413000</v>
      </c>
      <c r="I53" s="588">
        <f t="shared" si="1"/>
        <v>0</v>
      </c>
      <c r="J53" s="588">
        <f t="shared" si="2"/>
        <v>413000</v>
      </c>
      <c r="K53" s="589">
        <f t="shared" si="3"/>
        <v>413000</v>
      </c>
      <c r="L53" s="583" t="s">
        <v>463</v>
      </c>
      <c r="M53" s="601"/>
      <c r="N53" s="582"/>
    </row>
    <row r="54" spans="5:14" ht="85.5">
      <c r="E54" s="583" t="s">
        <v>386</v>
      </c>
      <c r="F54" s="407">
        <f>ACTIVITIES!L57</f>
        <v>0</v>
      </c>
      <c r="G54" s="407">
        <f>(ACTIVITIES!D57+ACTIVITIES!E57)*103.25</f>
        <v>3613750</v>
      </c>
      <c r="H54" s="589">
        <f t="shared" si="5"/>
        <v>3613750</v>
      </c>
      <c r="I54" s="588">
        <f t="shared" si="1"/>
        <v>0</v>
      </c>
      <c r="J54" s="588">
        <f t="shared" si="2"/>
        <v>3613750</v>
      </c>
      <c r="K54" s="589">
        <f t="shared" si="3"/>
        <v>3613750</v>
      </c>
      <c r="L54" s="583" t="s">
        <v>463</v>
      </c>
      <c r="M54" s="601"/>
      <c r="N54" s="582"/>
    </row>
    <row r="55" spans="5:14" ht="15">
      <c r="E55" s="612" t="s">
        <v>436</v>
      </c>
      <c r="F55" s="407"/>
      <c r="G55" s="407"/>
      <c r="H55" s="589"/>
      <c r="I55" s="588"/>
      <c r="J55" s="588"/>
      <c r="K55" s="589"/>
      <c r="L55" s="604"/>
      <c r="M55" s="601"/>
      <c r="N55" s="582"/>
    </row>
    <row r="56" spans="5:14" ht="14.25">
      <c r="E56" s="583" t="s">
        <v>436</v>
      </c>
      <c r="F56" s="407">
        <f>ACTIVITIES!L65</f>
        <v>800390</v>
      </c>
      <c r="G56" s="407">
        <f>(ACTIVITIES!D65+ACTIVITIES!E65)*103.25</f>
        <v>0</v>
      </c>
      <c r="H56" s="589">
        <f t="shared" si="5"/>
        <v>-800390</v>
      </c>
      <c r="I56" s="588">
        <f>F56</f>
        <v>800390</v>
      </c>
      <c r="J56" s="588">
        <f>G56</f>
        <v>0</v>
      </c>
      <c r="K56" s="589">
        <f>H56</f>
        <v>-800390</v>
      </c>
      <c r="L56" s="583" t="s">
        <v>442</v>
      </c>
      <c r="M56" s="601"/>
      <c r="N56" s="582"/>
    </row>
    <row r="57" spans="5:14" ht="30">
      <c r="E57" s="612" t="s">
        <v>458</v>
      </c>
      <c r="F57" s="612"/>
      <c r="G57" s="612"/>
      <c r="H57" s="612"/>
      <c r="I57" s="612"/>
      <c r="J57" s="612"/>
      <c r="K57" s="612"/>
      <c r="L57" s="583"/>
      <c r="M57" s="601"/>
      <c r="N57" s="582"/>
    </row>
    <row r="58" spans="5:14" ht="28.5">
      <c r="E58" s="583" t="s">
        <v>387</v>
      </c>
      <c r="F58" s="407">
        <f>ACTIVITIES!L70</f>
        <v>0</v>
      </c>
      <c r="G58" s="407">
        <f>(ACTIVITIES!D70+ACTIVITIES!E70)*103.25</f>
        <v>51625</v>
      </c>
      <c r="H58" s="589">
        <f>G58-F49</f>
        <v>51625</v>
      </c>
      <c r="I58" s="588">
        <f t="shared" si="1"/>
        <v>0</v>
      </c>
      <c r="J58" s="588">
        <f t="shared" si="2"/>
        <v>51625</v>
      </c>
      <c r="K58" s="589">
        <f t="shared" si="3"/>
        <v>51625</v>
      </c>
      <c r="L58" s="583" t="s">
        <v>443</v>
      </c>
      <c r="M58" s="601"/>
      <c r="N58" s="582"/>
    </row>
    <row r="59" spans="5:14" ht="28.5">
      <c r="E59" s="583" t="s">
        <v>388</v>
      </c>
      <c r="F59" s="407">
        <f>ACTIVITIES!L71</f>
        <v>0</v>
      </c>
      <c r="G59" s="407">
        <f>(ACTIVITIES!D71+ACTIVITIES!E71)*103.25</f>
        <v>309750</v>
      </c>
      <c r="H59" s="589">
        <f aca="true" t="shared" si="6" ref="H59:H71">G59-F59</f>
        <v>309750</v>
      </c>
      <c r="I59" s="588">
        <f t="shared" si="1"/>
        <v>0</v>
      </c>
      <c r="J59" s="588">
        <f t="shared" si="2"/>
        <v>309750</v>
      </c>
      <c r="K59" s="589">
        <f t="shared" si="3"/>
        <v>309750</v>
      </c>
      <c r="L59" s="583" t="s">
        <v>443</v>
      </c>
      <c r="M59" s="601"/>
      <c r="N59" s="582"/>
    </row>
    <row r="60" spans="5:14" ht="28.5">
      <c r="E60" s="583" t="s">
        <v>389</v>
      </c>
      <c r="F60" s="407">
        <f>ACTIVITIES!L72</f>
        <v>0</v>
      </c>
      <c r="G60" s="407">
        <f>(ACTIVITIES!D72+ACTIVITIES!E72)*103.25</f>
        <v>722750</v>
      </c>
      <c r="H60" s="589">
        <f t="shared" si="6"/>
        <v>722750</v>
      </c>
      <c r="I60" s="588">
        <f t="shared" si="1"/>
        <v>0</v>
      </c>
      <c r="J60" s="588">
        <f t="shared" si="2"/>
        <v>722750</v>
      </c>
      <c r="K60" s="589">
        <f t="shared" si="3"/>
        <v>722750</v>
      </c>
      <c r="L60" s="583" t="s">
        <v>443</v>
      </c>
      <c r="M60" s="601"/>
      <c r="N60" s="582"/>
    </row>
    <row r="61" spans="5:14" ht="28.5">
      <c r="E61" s="583" t="s">
        <v>390</v>
      </c>
      <c r="F61" s="407">
        <f>ACTIVITIES!L73</f>
        <v>0</v>
      </c>
      <c r="G61" s="407">
        <f>(ACTIVITIES!D73+ACTIVITIES!E73)*103.25</f>
        <v>361375</v>
      </c>
      <c r="H61" s="589">
        <f t="shared" si="6"/>
        <v>361375</v>
      </c>
      <c r="I61" s="588">
        <f t="shared" si="1"/>
        <v>0</v>
      </c>
      <c r="J61" s="588">
        <f t="shared" si="2"/>
        <v>361375</v>
      </c>
      <c r="K61" s="589">
        <f t="shared" si="3"/>
        <v>361375</v>
      </c>
      <c r="L61" s="583" t="s">
        <v>443</v>
      </c>
      <c r="M61" s="601"/>
      <c r="N61" s="582"/>
    </row>
    <row r="62" spans="5:14" ht="28.5">
      <c r="E62" s="583" t="s">
        <v>391</v>
      </c>
      <c r="F62" s="407">
        <f>ACTIVITIES!L77</f>
        <v>0</v>
      </c>
      <c r="G62" s="407">
        <f>(ACTIVITIES!D77+ACTIVITIES!E77)*103.25</f>
        <v>309750</v>
      </c>
      <c r="H62" s="589">
        <f t="shared" si="6"/>
        <v>309750</v>
      </c>
      <c r="I62" s="588">
        <f t="shared" si="1"/>
        <v>0</v>
      </c>
      <c r="J62" s="588">
        <f t="shared" si="2"/>
        <v>309750</v>
      </c>
      <c r="K62" s="589">
        <f t="shared" si="3"/>
        <v>309750</v>
      </c>
      <c r="L62" s="583" t="s">
        <v>443</v>
      </c>
      <c r="M62" s="601"/>
      <c r="N62" s="582"/>
    </row>
    <row r="63" spans="5:14" ht="29.25">
      <c r="E63" s="612" t="s">
        <v>460</v>
      </c>
      <c r="F63" s="612"/>
      <c r="G63" s="612"/>
      <c r="H63" s="612"/>
      <c r="I63" s="612"/>
      <c r="J63" s="612"/>
      <c r="K63" s="612"/>
      <c r="L63" s="583" t="s">
        <v>443</v>
      </c>
      <c r="M63" s="601"/>
      <c r="N63" s="582"/>
    </row>
    <row r="64" spans="5:14" ht="28.5">
      <c r="E64" s="583" t="s">
        <v>392</v>
      </c>
      <c r="F64" s="407">
        <f>ACTIVITIES!L81</f>
        <v>0</v>
      </c>
      <c r="G64" s="407">
        <f>(ACTIVITIES!D81+ACTIVITIES!E81)*103.25</f>
        <v>51625</v>
      </c>
      <c r="H64" s="589">
        <f t="shared" si="6"/>
        <v>51625</v>
      </c>
      <c r="I64" s="588">
        <f t="shared" si="1"/>
        <v>0</v>
      </c>
      <c r="J64" s="588">
        <f t="shared" si="2"/>
        <v>51625</v>
      </c>
      <c r="K64" s="589">
        <f t="shared" si="3"/>
        <v>51625</v>
      </c>
      <c r="L64" s="583" t="s">
        <v>443</v>
      </c>
      <c r="M64" s="601"/>
      <c r="N64" s="582"/>
    </row>
    <row r="65" spans="5:14" ht="28.5">
      <c r="E65" s="583" t="s">
        <v>393</v>
      </c>
      <c r="F65" s="407">
        <f>ACTIVITIES!L82</f>
        <v>0</v>
      </c>
      <c r="G65" s="407">
        <f>(ACTIVITIES!D82+ACTIVITIES!E82)*103.25</f>
        <v>464625</v>
      </c>
      <c r="H65" s="589">
        <f t="shared" si="6"/>
        <v>464625</v>
      </c>
      <c r="I65" s="588">
        <f t="shared" si="1"/>
        <v>0</v>
      </c>
      <c r="J65" s="588">
        <f t="shared" si="2"/>
        <v>464625</v>
      </c>
      <c r="K65" s="589">
        <f t="shared" si="3"/>
        <v>464625</v>
      </c>
      <c r="L65" s="583" t="s">
        <v>443</v>
      </c>
      <c r="M65" s="601"/>
      <c r="N65" s="582"/>
    </row>
    <row r="66" spans="5:14" ht="45">
      <c r="E66" s="612" t="s">
        <v>459</v>
      </c>
      <c r="F66" s="612"/>
      <c r="G66" s="612"/>
      <c r="H66" s="612"/>
      <c r="I66" s="612"/>
      <c r="J66" s="612"/>
      <c r="K66" s="612"/>
      <c r="L66" s="604"/>
      <c r="M66" s="601"/>
      <c r="N66" s="582"/>
    </row>
    <row r="67" spans="5:14" ht="28.5">
      <c r="E67" s="583" t="s">
        <v>394</v>
      </c>
      <c r="F67" s="407">
        <f>ACTIVITIES!L86</f>
        <v>240000</v>
      </c>
      <c r="G67" s="407">
        <f>(ACTIVITIES!D86+ACTIVITIES!E86)*103.25</f>
        <v>237475</v>
      </c>
      <c r="H67" s="589">
        <f t="shared" si="6"/>
        <v>-2525</v>
      </c>
      <c r="I67" s="588">
        <f t="shared" si="1"/>
        <v>240000</v>
      </c>
      <c r="J67" s="588">
        <f t="shared" si="2"/>
        <v>237475</v>
      </c>
      <c r="K67" s="589">
        <f t="shared" si="3"/>
        <v>-2525</v>
      </c>
      <c r="L67" s="583"/>
      <c r="M67" s="601"/>
      <c r="N67" s="582"/>
    </row>
    <row r="68" spans="5:14" ht="28.5">
      <c r="E68" s="583" t="s">
        <v>395</v>
      </c>
      <c r="F68" s="407">
        <f>ACTIVITIES!L87</f>
        <v>78900</v>
      </c>
      <c r="G68" s="407">
        <f>(ACTIVITIES!D87+ACTIVITIES!E87)*103.25</f>
        <v>619500</v>
      </c>
      <c r="H68" s="589">
        <f t="shared" si="6"/>
        <v>540600</v>
      </c>
      <c r="I68" s="588">
        <f t="shared" si="1"/>
        <v>78900</v>
      </c>
      <c r="J68" s="588">
        <f t="shared" si="2"/>
        <v>619500</v>
      </c>
      <c r="K68" s="589">
        <f t="shared" si="3"/>
        <v>540600</v>
      </c>
      <c r="L68" s="583"/>
      <c r="M68" s="601"/>
      <c r="N68" s="582"/>
    </row>
    <row r="69" spans="5:14" ht="14.25">
      <c r="E69" s="583" t="s">
        <v>396</v>
      </c>
      <c r="F69" s="407">
        <f>ACTIVITIES!L88</f>
        <v>700368</v>
      </c>
      <c r="G69" s="407">
        <f>(ACTIVITIES!D88+ACTIVITIES!E88)*103.25</f>
        <v>519347.5</v>
      </c>
      <c r="H69" s="589">
        <f t="shared" si="6"/>
        <v>-181020.5</v>
      </c>
      <c r="I69" s="588">
        <f t="shared" si="1"/>
        <v>700368</v>
      </c>
      <c r="J69" s="588">
        <f t="shared" si="2"/>
        <v>519347.5</v>
      </c>
      <c r="K69" s="589">
        <f t="shared" si="3"/>
        <v>-181020.5</v>
      </c>
      <c r="L69" s="583"/>
      <c r="M69" s="601"/>
      <c r="N69" s="582"/>
    </row>
    <row r="70" spans="5:14" ht="14.25">
      <c r="E70" s="583" t="s">
        <v>397</v>
      </c>
      <c r="F70" s="407">
        <f>ACTIVITIES!L89</f>
        <v>0</v>
      </c>
      <c r="G70" s="407">
        <f>(ACTIVITIES!D89+ACTIVITIES!E89)*103.25</f>
        <v>10325</v>
      </c>
      <c r="H70" s="589">
        <f t="shared" si="6"/>
        <v>10325</v>
      </c>
      <c r="I70" s="588">
        <f t="shared" si="1"/>
        <v>0</v>
      </c>
      <c r="J70" s="588">
        <f t="shared" si="2"/>
        <v>10325</v>
      </c>
      <c r="K70" s="589">
        <f t="shared" si="3"/>
        <v>10325</v>
      </c>
      <c r="L70" s="583"/>
      <c r="M70" s="601"/>
      <c r="N70" s="582"/>
    </row>
    <row r="71" spans="5:14" ht="15">
      <c r="E71" s="590" t="s">
        <v>14</v>
      </c>
      <c r="F71" s="603">
        <f>SUM(F47:F70)</f>
        <v>2502158</v>
      </c>
      <c r="G71" s="603">
        <f>SUM(G47:G70)</f>
        <v>14181387.5</v>
      </c>
      <c r="H71" s="592">
        <f t="shared" si="6"/>
        <v>11679229.5</v>
      </c>
      <c r="I71" s="593">
        <f t="shared" si="1"/>
        <v>2502158</v>
      </c>
      <c r="J71" s="593">
        <f t="shared" si="2"/>
        <v>14181387.5</v>
      </c>
      <c r="K71" s="592">
        <f t="shared" si="3"/>
        <v>11679229.5</v>
      </c>
      <c r="L71" s="583"/>
      <c r="M71" s="601"/>
      <c r="N71" s="582"/>
    </row>
    <row r="72" spans="5:14" ht="15">
      <c r="E72" s="566" t="s">
        <v>328</v>
      </c>
      <c r="F72" s="603"/>
      <c r="G72" s="603"/>
      <c r="H72" s="589"/>
      <c r="I72" s="588"/>
      <c r="J72" s="588"/>
      <c r="K72" s="589"/>
      <c r="L72" s="583"/>
      <c r="M72" s="601"/>
      <c r="N72" s="582"/>
    </row>
    <row r="73" spans="5:14" ht="28.5">
      <c r="E73" s="583" t="s">
        <v>398</v>
      </c>
      <c r="F73" s="602">
        <f>ACTIVITIES!L94</f>
        <v>87700</v>
      </c>
      <c r="G73" s="407">
        <f>(ACTIVITIES!D94+ACTIVITIES!E94)*103.25</f>
        <v>103250</v>
      </c>
      <c r="H73" s="589">
        <f>G73-F73</f>
        <v>15550</v>
      </c>
      <c r="I73" s="588">
        <f t="shared" si="1"/>
        <v>87700</v>
      </c>
      <c r="J73" s="588">
        <f t="shared" si="2"/>
        <v>103250</v>
      </c>
      <c r="K73" s="589">
        <f t="shared" si="3"/>
        <v>15550</v>
      </c>
      <c r="L73" s="583"/>
      <c r="M73" s="601"/>
      <c r="N73" s="582"/>
    </row>
    <row r="74" spans="5:14" ht="15">
      <c r="E74" s="613" t="s">
        <v>447</v>
      </c>
      <c r="F74" s="602"/>
      <c r="G74" s="407"/>
      <c r="H74" s="589"/>
      <c r="I74" s="588"/>
      <c r="J74" s="588"/>
      <c r="K74" s="589"/>
      <c r="L74" s="583"/>
      <c r="M74" s="601"/>
      <c r="N74" s="582"/>
    </row>
    <row r="75" spans="5:14" ht="57">
      <c r="E75" s="614" t="s">
        <v>399</v>
      </c>
      <c r="F75" s="407">
        <f>ACTIVITIES!L99</f>
        <v>0</v>
      </c>
      <c r="G75" s="407">
        <f>(ACTIVITIES!D99+ACTIVITIES!E99)*103.25</f>
        <v>309750</v>
      </c>
      <c r="H75" s="589">
        <f>G75-F75</f>
        <v>309750</v>
      </c>
      <c r="I75" s="588">
        <f t="shared" si="1"/>
        <v>0</v>
      </c>
      <c r="J75" s="588">
        <f t="shared" si="2"/>
        <v>309750</v>
      </c>
      <c r="K75" s="589">
        <f t="shared" si="3"/>
        <v>309750</v>
      </c>
      <c r="L75" s="583" t="s">
        <v>468</v>
      </c>
      <c r="M75" s="601"/>
      <c r="N75" s="582"/>
    </row>
    <row r="76" spans="5:14" ht="42.75">
      <c r="E76" s="614" t="s">
        <v>400</v>
      </c>
      <c r="F76" s="407">
        <f>ACTIVITIES!L103</f>
        <v>0</v>
      </c>
      <c r="G76" s="407">
        <f>(ACTIVITIES!D103+ACTIVITIES!E103)*103.25</f>
        <v>103250</v>
      </c>
      <c r="H76" s="589">
        <f>G76-F76</f>
        <v>103250</v>
      </c>
      <c r="I76" s="588">
        <f t="shared" si="1"/>
        <v>0</v>
      </c>
      <c r="J76" s="588">
        <f t="shared" si="2"/>
        <v>103250</v>
      </c>
      <c r="K76" s="589">
        <f t="shared" si="3"/>
        <v>103250</v>
      </c>
      <c r="L76" s="583" t="s">
        <v>468</v>
      </c>
      <c r="M76" s="601"/>
      <c r="N76" s="582"/>
    </row>
    <row r="77" spans="5:14" ht="15">
      <c r="E77" s="590" t="s">
        <v>14</v>
      </c>
      <c r="F77" s="603">
        <f>SUM(F73:F76)</f>
        <v>87700</v>
      </c>
      <c r="G77" s="603">
        <f>SUM(G73:G76)</f>
        <v>516250</v>
      </c>
      <c r="H77" s="592">
        <f>G77-F77</f>
        <v>428550</v>
      </c>
      <c r="I77" s="593">
        <f t="shared" si="1"/>
        <v>87700</v>
      </c>
      <c r="J77" s="593">
        <f t="shared" si="2"/>
        <v>516250</v>
      </c>
      <c r="K77" s="592">
        <f t="shared" si="3"/>
        <v>428550</v>
      </c>
      <c r="L77" s="583"/>
      <c r="M77" s="601"/>
      <c r="N77" s="582"/>
    </row>
    <row r="78" spans="5:14" ht="15">
      <c r="E78" s="566" t="s">
        <v>329</v>
      </c>
      <c r="F78" s="407"/>
      <c r="G78" s="407"/>
      <c r="H78" s="589"/>
      <c r="I78" s="588"/>
      <c r="J78" s="588"/>
      <c r="K78" s="589"/>
      <c r="L78" s="583"/>
      <c r="M78" s="601"/>
      <c r="N78" s="582"/>
    </row>
    <row r="79" spans="5:14" ht="42.75">
      <c r="E79" s="567" t="s">
        <v>401</v>
      </c>
      <c r="F79" s="568">
        <f>ACTIVITIES!L115</f>
        <v>0</v>
      </c>
      <c r="G79" s="407">
        <f>(ACTIVITIES!D142+ACTIVITIES!E142)*103.25</f>
        <v>33933732</v>
      </c>
      <c r="H79" s="589">
        <f aca="true" t="shared" si="7" ref="H79:H91">G79-F79</f>
        <v>33933732</v>
      </c>
      <c r="I79" s="588">
        <f t="shared" si="1"/>
        <v>0</v>
      </c>
      <c r="J79" s="588">
        <f t="shared" si="2"/>
        <v>33933732</v>
      </c>
      <c r="K79" s="589">
        <f t="shared" si="3"/>
        <v>33933732</v>
      </c>
      <c r="L79" s="583" t="s">
        <v>444</v>
      </c>
      <c r="M79" s="601"/>
      <c r="N79" s="582"/>
    </row>
    <row r="80" spans="5:14" ht="42.75">
      <c r="E80" s="583" t="s">
        <v>402</v>
      </c>
      <c r="F80" s="407">
        <f>ACTIVITIES!L151</f>
        <v>0</v>
      </c>
      <c r="G80" s="407">
        <f>(ACTIVITIES!D151+ACTIVITIES!E151)*103.25</f>
        <v>1032500</v>
      </c>
      <c r="H80" s="589">
        <f t="shared" si="7"/>
        <v>1032500</v>
      </c>
      <c r="I80" s="588">
        <f t="shared" si="1"/>
        <v>0</v>
      </c>
      <c r="J80" s="588">
        <f t="shared" si="2"/>
        <v>1032500</v>
      </c>
      <c r="K80" s="589">
        <f t="shared" si="3"/>
        <v>1032500</v>
      </c>
      <c r="L80" s="583" t="s">
        <v>444</v>
      </c>
      <c r="M80" s="601"/>
      <c r="N80" s="582"/>
    </row>
    <row r="81" spans="5:14" ht="28.5">
      <c r="E81" s="583" t="s">
        <v>403</v>
      </c>
      <c r="F81" s="407">
        <f>ACTIVITIES!L157</f>
        <v>316475</v>
      </c>
      <c r="G81" s="407">
        <f>(ACTIVITIES!D157+ACTIVITIES!E157)*103.25</f>
        <v>1032500</v>
      </c>
      <c r="H81" s="589">
        <f t="shared" si="7"/>
        <v>716025</v>
      </c>
      <c r="I81" s="588">
        <f t="shared" si="1"/>
        <v>316475</v>
      </c>
      <c r="J81" s="588">
        <f t="shared" si="2"/>
        <v>1032500</v>
      </c>
      <c r="K81" s="589">
        <f t="shared" si="3"/>
        <v>716025</v>
      </c>
      <c r="L81" s="583" t="s">
        <v>469</v>
      </c>
      <c r="M81" s="601"/>
      <c r="N81" s="582"/>
    </row>
    <row r="82" spans="5:14" ht="28.5">
      <c r="E82" s="583" t="s">
        <v>404</v>
      </c>
      <c r="F82" s="407">
        <f>ACTIVITIES!L161</f>
        <v>356069</v>
      </c>
      <c r="G82" s="407">
        <f>(ACTIVITIES!D161+ACTIVITIES!E161)*103.25</f>
        <v>1032500</v>
      </c>
      <c r="H82" s="589">
        <f t="shared" si="7"/>
        <v>676431</v>
      </c>
      <c r="I82" s="588">
        <f t="shared" si="1"/>
        <v>356069</v>
      </c>
      <c r="J82" s="588">
        <f t="shared" si="2"/>
        <v>1032500</v>
      </c>
      <c r="K82" s="589">
        <f t="shared" si="3"/>
        <v>676431</v>
      </c>
      <c r="L82" s="583" t="s">
        <v>469</v>
      </c>
      <c r="M82" s="601"/>
      <c r="N82" s="582"/>
    </row>
    <row r="83" spans="5:14" ht="28.5">
      <c r="E83" s="583" t="s">
        <v>405</v>
      </c>
      <c r="F83" s="407">
        <f>ACTIVITIES!L166</f>
        <v>0</v>
      </c>
      <c r="G83" s="407">
        <f>(ACTIVITIES!D166+ACTIVITIES!E166)*103.25</f>
        <v>309750</v>
      </c>
      <c r="H83" s="589">
        <f t="shared" si="7"/>
        <v>309750</v>
      </c>
      <c r="I83" s="588">
        <f t="shared" si="1"/>
        <v>0</v>
      </c>
      <c r="J83" s="588">
        <f t="shared" si="2"/>
        <v>309750</v>
      </c>
      <c r="K83" s="589">
        <f t="shared" si="3"/>
        <v>309750</v>
      </c>
      <c r="L83" s="583" t="s">
        <v>445</v>
      </c>
      <c r="M83" s="601"/>
      <c r="N83" s="582"/>
    </row>
    <row r="84" spans="5:14" ht="42.75">
      <c r="E84" s="583" t="s">
        <v>406</v>
      </c>
      <c r="F84" s="407">
        <f>ACTIVITIES!L175</f>
        <v>0</v>
      </c>
      <c r="G84" s="407">
        <f>(ACTIVITIES!D175+ACTIVITIES!E175)*103.25</f>
        <v>516250</v>
      </c>
      <c r="H84" s="589">
        <f t="shared" si="7"/>
        <v>516250</v>
      </c>
      <c r="I84" s="588">
        <f t="shared" si="1"/>
        <v>0</v>
      </c>
      <c r="J84" s="588">
        <f t="shared" si="2"/>
        <v>516250</v>
      </c>
      <c r="K84" s="589">
        <f t="shared" si="3"/>
        <v>516250</v>
      </c>
      <c r="L84" s="583" t="s">
        <v>464</v>
      </c>
      <c r="M84" s="601"/>
      <c r="N84" s="582"/>
    </row>
    <row r="85" spans="5:14" ht="42.75">
      <c r="E85" s="583" t="s">
        <v>407</v>
      </c>
      <c r="F85" s="407">
        <f>ACTIVITIES!L176</f>
        <v>0</v>
      </c>
      <c r="G85" s="407">
        <f>(ACTIVITIES!D176+ACTIVITIES!E176)*103.25</f>
        <v>123900</v>
      </c>
      <c r="H85" s="589">
        <f t="shared" si="7"/>
        <v>123900</v>
      </c>
      <c r="I85" s="588">
        <f t="shared" si="1"/>
        <v>0</v>
      </c>
      <c r="J85" s="588">
        <f t="shared" si="2"/>
        <v>123900</v>
      </c>
      <c r="K85" s="589">
        <f t="shared" si="3"/>
        <v>123900</v>
      </c>
      <c r="L85" s="583" t="s">
        <v>464</v>
      </c>
      <c r="M85" s="601"/>
      <c r="N85" s="582"/>
    </row>
    <row r="86" spans="5:14" ht="28.5">
      <c r="E86" s="583" t="s">
        <v>408</v>
      </c>
      <c r="F86" s="407">
        <f>ACTIVITIES!L182</f>
        <v>0</v>
      </c>
      <c r="G86" s="407">
        <f>(ACTIVITIES!D182+ACTIVITIES!E182)*103.25</f>
        <v>206500</v>
      </c>
      <c r="H86" s="589">
        <f t="shared" si="7"/>
        <v>206500</v>
      </c>
      <c r="I86" s="588">
        <f t="shared" si="1"/>
        <v>0</v>
      </c>
      <c r="J86" s="588">
        <f t="shared" si="2"/>
        <v>206500</v>
      </c>
      <c r="K86" s="589">
        <f t="shared" si="3"/>
        <v>206500</v>
      </c>
      <c r="L86" s="583" t="s">
        <v>465</v>
      </c>
      <c r="M86" s="601"/>
      <c r="N86" s="582"/>
    </row>
    <row r="87" spans="5:14" ht="57">
      <c r="E87" s="583" t="s">
        <v>409</v>
      </c>
      <c r="F87" s="407">
        <f>ACTIVITIES!L183</f>
        <v>0</v>
      </c>
      <c r="G87" s="407">
        <f>(ACTIVITIES!D183+ACTIVITIES!E183)*103.25</f>
        <v>51625</v>
      </c>
      <c r="H87" s="589">
        <f t="shared" si="7"/>
        <v>51625</v>
      </c>
      <c r="I87" s="588">
        <f t="shared" si="1"/>
        <v>0</v>
      </c>
      <c r="J87" s="588">
        <f t="shared" si="2"/>
        <v>51625</v>
      </c>
      <c r="K87" s="589">
        <f t="shared" si="3"/>
        <v>51625</v>
      </c>
      <c r="L87" s="583" t="s">
        <v>466</v>
      </c>
      <c r="M87" s="601"/>
      <c r="N87" s="582"/>
    </row>
    <row r="88" spans="5:14" ht="57">
      <c r="E88" s="583" t="s">
        <v>410</v>
      </c>
      <c r="F88" s="407">
        <f>ACTIVITIES!L184</f>
        <v>0</v>
      </c>
      <c r="G88" s="407">
        <f>(ACTIVITIES!D184+ACTIVITIES!E184)*103.25</f>
        <v>206500</v>
      </c>
      <c r="H88" s="589">
        <f t="shared" si="7"/>
        <v>206500</v>
      </c>
      <c r="I88" s="588">
        <f t="shared" si="1"/>
        <v>0</v>
      </c>
      <c r="J88" s="588">
        <f t="shared" si="2"/>
        <v>206500</v>
      </c>
      <c r="K88" s="589">
        <f t="shared" si="3"/>
        <v>206500</v>
      </c>
      <c r="L88" s="583" t="s">
        <v>466</v>
      </c>
      <c r="M88" s="601"/>
      <c r="N88" s="582"/>
    </row>
    <row r="89" spans="5:14" ht="42.75">
      <c r="E89" s="583" t="s">
        <v>411</v>
      </c>
      <c r="F89" s="407">
        <f>ACTIVITIES!L187</f>
        <v>7400000</v>
      </c>
      <c r="G89" s="407">
        <f>(ACTIVITIES!D187+ACTIVITIES!E187)*103.25</f>
        <v>7640500</v>
      </c>
      <c r="H89" s="589">
        <f t="shared" si="7"/>
        <v>240500</v>
      </c>
      <c r="I89" s="588">
        <f t="shared" si="1"/>
        <v>7400000</v>
      </c>
      <c r="J89" s="588">
        <f t="shared" si="2"/>
        <v>7640500</v>
      </c>
      <c r="K89" s="589">
        <f t="shared" si="3"/>
        <v>240500</v>
      </c>
      <c r="L89" s="583" t="s">
        <v>467</v>
      </c>
      <c r="M89" s="601"/>
      <c r="N89" s="582"/>
    </row>
    <row r="90" spans="5:14" ht="28.5">
      <c r="E90" s="615" t="s">
        <v>412</v>
      </c>
      <c r="F90" s="407">
        <f>ACTIVITIES!L191</f>
        <v>370200</v>
      </c>
      <c r="G90" s="407">
        <f>(ACTIVITIES!D191+ACTIVITIES!E191)*103.25</f>
        <v>413000</v>
      </c>
      <c r="H90" s="589">
        <f t="shared" si="7"/>
        <v>42800</v>
      </c>
      <c r="I90" s="588">
        <f t="shared" si="1"/>
        <v>370200</v>
      </c>
      <c r="J90" s="588">
        <f t="shared" si="2"/>
        <v>413000</v>
      </c>
      <c r="K90" s="589">
        <f t="shared" si="3"/>
        <v>42800</v>
      </c>
      <c r="L90" s="583"/>
      <c r="M90" s="601"/>
      <c r="N90" s="582"/>
    </row>
    <row r="91" spans="5:14" ht="15">
      <c r="E91" s="590" t="s">
        <v>14</v>
      </c>
      <c r="F91" s="603">
        <f>SUM(F79:F90)</f>
        <v>8442744</v>
      </c>
      <c r="G91" s="603">
        <f>SUM(G79:G90)</f>
        <v>46499257</v>
      </c>
      <c r="H91" s="592">
        <f t="shared" si="7"/>
        <v>38056513</v>
      </c>
      <c r="I91" s="588">
        <f t="shared" si="1"/>
        <v>8442744</v>
      </c>
      <c r="J91" s="588">
        <f t="shared" si="2"/>
        <v>46499257</v>
      </c>
      <c r="K91" s="589">
        <f t="shared" si="3"/>
        <v>38056513</v>
      </c>
      <c r="L91" s="583"/>
      <c r="M91" s="601"/>
      <c r="N91" s="582"/>
    </row>
    <row r="92" spans="5:14" ht="15">
      <c r="E92" s="605"/>
      <c r="F92" s="606"/>
      <c r="G92" s="606"/>
      <c r="H92" s="598"/>
      <c r="I92" s="607"/>
      <c r="J92" s="607"/>
      <c r="K92" s="607"/>
      <c r="L92" s="583"/>
      <c r="M92" s="601"/>
      <c r="N92" s="582"/>
    </row>
    <row r="93" spans="5:14" ht="15">
      <c r="E93" s="585" t="s">
        <v>22</v>
      </c>
      <c r="F93" s="603">
        <f>F45+F71+F77+F91</f>
        <v>19349557</v>
      </c>
      <c r="G93" s="603">
        <f>G45+G71+G77+G91</f>
        <v>84066769.5</v>
      </c>
      <c r="H93" s="603">
        <f>H45+H71+H77+H91</f>
        <v>64717212.5</v>
      </c>
      <c r="I93" s="593">
        <f t="shared" si="1"/>
        <v>19349557</v>
      </c>
      <c r="J93" s="593">
        <f t="shared" si="2"/>
        <v>84066769.5</v>
      </c>
      <c r="K93" s="592">
        <f t="shared" si="3"/>
        <v>64717212.5</v>
      </c>
      <c r="L93" s="583"/>
      <c r="M93" s="601"/>
      <c r="N93" s="582"/>
    </row>
    <row r="94" spans="5:14" ht="14.25">
      <c r="E94" s="582"/>
      <c r="F94" s="582"/>
      <c r="G94" s="582"/>
      <c r="H94" s="582"/>
      <c r="I94" s="582"/>
      <c r="J94" s="582"/>
      <c r="K94" s="582"/>
      <c r="L94" s="583"/>
      <c r="M94" s="608"/>
      <c r="N94" s="609"/>
    </row>
    <row r="95" spans="5:15" ht="14.25">
      <c r="E95" s="582"/>
      <c r="F95" s="582"/>
      <c r="G95" s="582"/>
      <c r="H95" s="582"/>
      <c r="I95" s="582"/>
      <c r="J95" s="582"/>
      <c r="K95" s="582"/>
      <c r="L95" s="583"/>
      <c r="M95" s="610"/>
      <c r="N95" s="610"/>
      <c r="O95" s="610"/>
    </row>
    <row r="96" spans="5:15" ht="15">
      <c r="E96" s="590" t="s">
        <v>437</v>
      </c>
      <c r="F96" s="582"/>
      <c r="G96" s="582"/>
      <c r="H96" s="582"/>
      <c r="I96" s="582"/>
      <c r="J96" s="582"/>
      <c r="K96" s="582"/>
      <c r="L96" s="583"/>
      <c r="M96" s="610"/>
      <c r="N96" s="610"/>
      <c r="O96" s="610"/>
    </row>
    <row r="97" spans="5:15" ht="15">
      <c r="E97" s="585"/>
      <c r="F97" s="588"/>
      <c r="G97" s="588"/>
      <c r="H97" s="589"/>
      <c r="I97" s="582"/>
      <c r="J97" s="582"/>
      <c r="K97" s="582"/>
      <c r="L97" s="583"/>
      <c r="M97" s="610"/>
      <c r="N97" s="610"/>
      <c r="O97" s="610"/>
    </row>
    <row r="98" spans="5:15" ht="14.25">
      <c r="E98" s="582" t="s">
        <v>448</v>
      </c>
      <c r="F98" s="588"/>
      <c r="G98" s="588"/>
      <c r="H98" s="589"/>
      <c r="I98" s="582"/>
      <c r="J98" s="582"/>
      <c r="K98" s="582"/>
      <c r="L98" s="583"/>
      <c r="M98" s="610"/>
      <c r="N98" s="610"/>
      <c r="O98" s="610"/>
    </row>
    <row r="99" spans="5:15" ht="15">
      <c r="E99" s="590" t="s">
        <v>451</v>
      </c>
      <c r="F99" s="582"/>
      <c r="G99" s="582"/>
      <c r="H99" s="582"/>
      <c r="I99" s="582"/>
      <c r="J99" s="582"/>
      <c r="K99" s="582"/>
      <c r="L99" s="583"/>
      <c r="M99" s="610"/>
      <c r="N99" s="610"/>
      <c r="O99" s="610"/>
    </row>
    <row r="100" spans="5:12" ht="14.25">
      <c r="E100" s="582"/>
      <c r="F100" s="582"/>
      <c r="G100" s="582"/>
      <c r="H100" s="582"/>
      <c r="I100" s="582"/>
      <c r="J100" s="582"/>
      <c r="K100" s="582"/>
      <c r="L100" s="583"/>
    </row>
    <row r="101" spans="5:12" ht="14.25">
      <c r="E101" s="582" t="s">
        <v>454</v>
      </c>
      <c r="F101" s="582"/>
      <c r="G101" s="582"/>
      <c r="H101" s="582"/>
      <c r="I101" s="582"/>
      <c r="J101" s="582"/>
      <c r="K101" s="582"/>
      <c r="L101" s="583"/>
    </row>
    <row r="102" spans="5:12" ht="15">
      <c r="E102" s="590" t="s">
        <v>450</v>
      </c>
      <c r="F102" s="582"/>
      <c r="G102" s="582"/>
      <c r="H102" s="582"/>
      <c r="I102" s="582"/>
      <c r="J102" s="582"/>
      <c r="K102" s="582"/>
      <c r="L102" s="583"/>
    </row>
    <row r="103" spans="5:12" ht="14.25">
      <c r="E103" s="582"/>
      <c r="F103" s="582"/>
      <c r="G103" s="582"/>
      <c r="H103" s="582"/>
      <c r="I103" s="582"/>
      <c r="J103" s="582"/>
      <c r="K103" s="582"/>
      <c r="L103" s="583"/>
    </row>
    <row r="104" spans="5:12" ht="14.25">
      <c r="E104" s="582" t="s">
        <v>453</v>
      </c>
      <c r="F104" s="582"/>
      <c r="G104" s="582"/>
      <c r="H104" s="582"/>
      <c r="I104" s="582"/>
      <c r="J104" s="582"/>
      <c r="K104" s="582"/>
      <c r="L104" s="583"/>
    </row>
    <row r="105" spans="5:12" ht="15">
      <c r="E105" s="590" t="s">
        <v>449</v>
      </c>
      <c r="F105" s="582"/>
      <c r="G105" s="582"/>
      <c r="H105" s="582"/>
      <c r="I105" s="582"/>
      <c r="J105" s="582"/>
      <c r="K105" s="582"/>
      <c r="L105" s="583"/>
    </row>
  </sheetData>
  <sheetProtection/>
  <mergeCells count="9">
    <mergeCell ref="E8:M8"/>
    <mergeCell ref="F14:H14"/>
    <mergeCell ref="I14:K14"/>
    <mergeCell ref="F15:H15"/>
    <mergeCell ref="I15:K15"/>
    <mergeCell ref="E9:L9"/>
    <mergeCell ref="E10:L10"/>
    <mergeCell ref="E11:L11"/>
    <mergeCell ref="E12:L12"/>
  </mergeCells>
  <printOptions/>
  <pageMargins left="0.25" right="0.25" top="0.41" bottom="0.45" header="0.3" footer="0.17"/>
  <pageSetup fitToHeight="0" fitToWidth="1" horizontalDpi="600" verticalDpi="600" orientation="landscape" paperSize="9" scale="64" r:id="rId1"/>
  <headerFooter alignWithMargins="0">
    <oddFooter>&amp;R&amp;Pof&amp;N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31"/>
  <sheetViews>
    <sheetView zoomScale="98" zoomScaleNormal="98" zoomScalePageLayoutView="0" workbookViewId="0" topLeftCell="A4">
      <selection activeCell="B19" sqref="B19"/>
    </sheetView>
  </sheetViews>
  <sheetFormatPr defaultColWidth="9.140625" defaultRowHeight="12.75"/>
  <cols>
    <col min="1" max="1" width="67.7109375" style="0" customWidth="1"/>
    <col min="2" max="2" width="28.7109375" style="0" customWidth="1"/>
    <col min="3" max="5" width="22.421875" style="0" customWidth="1"/>
  </cols>
  <sheetData>
    <row r="2" spans="1:5" ht="12.75">
      <c r="A2" s="4"/>
      <c r="B2" s="4"/>
      <c r="C2" s="4"/>
      <c r="D2" s="4"/>
      <c r="E2" s="4"/>
    </row>
    <row r="3" spans="1:9" ht="15.75">
      <c r="A3" s="15"/>
      <c r="B3" s="4"/>
      <c r="C3" s="4"/>
      <c r="D3" s="4"/>
      <c r="E3" s="4"/>
      <c r="F3" s="4"/>
      <c r="G3" s="4"/>
      <c r="H3" s="4"/>
      <c r="I3" s="4"/>
    </row>
    <row r="4" spans="1:9" ht="12.75">
      <c r="A4" s="4"/>
      <c r="B4" s="4"/>
      <c r="C4" s="4"/>
      <c r="D4" s="4"/>
      <c r="E4" s="4"/>
      <c r="F4" s="4"/>
      <c r="G4" s="4"/>
      <c r="H4" s="4"/>
      <c r="I4" s="4"/>
    </row>
    <row r="5" spans="1:9" ht="13.5" thickBot="1">
      <c r="A5" s="629"/>
      <c r="B5" s="630"/>
      <c r="C5" s="410"/>
      <c r="D5" s="410"/>
      <c r="E5" s="410"/>
      <c r="F5" s="4"/>
      <c r="G5" s="4"/>
      <c r="H5" s="4"/>
      <c r="I5" s="4"/>
    </row>
    <row r="6" spans="1:10" ht="14.25">
      <c r="A6" s="651"/>
      <c r="B6" s="652"/>
      <c r="C6" s="653"/>
      <c r="D6" s="653"/>
      <c r="E6" s="653"/>
      <c r="F6" s="653"/>
      <c r="G6" s="653"/>
      <c r="H6" s="653"/>
      <c r="I6" s="653"/>
      <c r="J6" s="4"/>
    </row>
    <row r="7" spans="1:5" ht="15">
      <c r="A7" s="633" t="s">
        <v>433</v>
      </c>
      <c r="B7" s="634"/>
      <c r="C7" s="30"/>
      <c r="D7" s="30"/>
      <c r="E7" s="30"/>
    </row>
    <row r="8" spans="1:5" ht="12.75">
      <c r="A8" s="629" t="s">
        <v>37</v>
      </c>
      <c r="B8" s="630"/>
      <c r="C8" s="410"/>
      <c r="D8" s="410"/>
      <c r="E8" s="410"/>
    </row>
    <row r="9" spans="1:5" ht="12.75">
      <c r="A9" s="631" t="s">
        <v>322</v>
      </c>
      <c r="B9" s="632"/>
      <c r="C9" s="410"/>
      <c r="D9" s="410"/>
      <c r="E9" s="410"/>
    </row>
    <row r="11" spans="2:3" ht="12.75">
      <c r="B11" s="1"/>
      <c r="C11" s="1"/>
    </row>
    <row r="12" ht="13.5" thickBot="1"/>
    <row r="13" spans="1:3" ht="12.75">
      <c r="A13" s="2"/>
      <c r="B13" s="648"/>
      <c r="C13" s="648"/>
    </row>
    <row r="14" spans="1:3" ht="12.75">
      <c r="A14" s="5"/>
      <c r="B14" s="649"/>
      <c r="C14" s="649"/>
    </row>
    <row r="15" spans="1:3" ht="26.25" customHeight="1" thickBot="1">
      <c r="A15" s="17" t="s">
        <v>36</v>
      </c>
      <c r="B15" s="650"/>
      <c r="C15" s="650"/>
    </row>
    <row r="16" spans="1:3" ht="12.75">
      <c r="A16" s="20"/>
      <c r="B16" s="11"/>
      <c r="C16" s="11"/>
    </row>
    <row r="17" spans="1:3" ht="12.75">
      <c r="A17" s="3"/>
      <c r="B17" s="413" t="s">
        <v>422</v>
      </c>
      <c r="C17" s="413" t="s">
        <v>422</v>
      </c>
    </row>
    <row r="18" spans="2:3" ht="12.75">
      <c r="B18" s="409"/>
      <c r="C18" s="6"/>
    </row>
    <row r="19" spans="1:3" ht="12.75">
      <c r="A19" s="35" t="s">
        <v>421</v>
      </c>
      <c r="B19" s="415">
        <v>2098899760</v>
      </c>
      <c r="C19" s="415">
        <f>B19</f>
        <v>2098899760</v>
      </c>
    </row>
    <row r="20" spans="1:3" ht="12.75">
      <c r="A20" s="24"/>
      <c r="B20" s="6"/>
      <c r="C20" s="6"/>
    </row>
    <row r="21" spans="1:3" ht="12.75">
      <c r="A21" s="35" t="s">
        <v>34</v>
      </c>
      <c r="B21" s="36">
        <v>0</v>
      </c>
      <c r="C21" s="36">
        <v>0</v>
      </c>
    </row>
    <row r="22" spans="1:3" ht="12.75">
      <c r="A22" s="34"/>
      <c r="B22" s="6"/>
      <c r="C22" s="6"/>
    </row>
    <row r="23" spans="1:3" ht="13.5" thickBot="1">
      <c r="A23" s="25"/>
      <c r="B23" s="7"/>
      <c r="C23" s="7"/>
    </row>
    <row r="24" spans="1:3" ht="13.5" thickBot="1">
      <c r="A24" s="21"/>
      <c r="B24" s="18"/>
      <c r="C24" s="18"/>
    </row>
    <row r="25" spans="1:3" ht="13.5" thickBot="1">
      <c r="A25" s="19" t="s">
        <v>35</v>
      </c>
      <c r="B25" s="414">
        <f>B19+B21</f>
        <v>2098899760</v>
      </c>
      <c r="C25" s="414">
        <f>C19+C21</f>
        <v>2098899760</v>
      </c>
    </row>
    <row r="26" spans="1:3" ht="12.75">
      <c r="A26" s="10"/>
      <c r="B26" s="12"/>
      <c r="C26" s="12"/>
    </row>
    <row r="31" ht="12.75">
      <c r="A31" s="26"/>
    </row>
  </sheetData>
  <sheetProtection/>
  <mergeCells count="7">
    <mergeCell ref="B13:B15"/>
    <mergeCell ref="C13:C15"/>
    <mergeCell ref="A5:B5"/>
    <mergeCell ref="A7:B7"/>
    <mergeCell ref="A8:B8"/>
    <mergeCell ref="A9:B9"/>
    <mergeCell ref="A6:I6"/>
  </mergeCells>
  <printOptions/>
  <pageMargins left="0.7" right="0.7" top="0.75" bottom="0.75" header="0.3" footer="0.3"/>
  <pageSetup horizontalDpi="600" verticalDpi="600" orientation="portrait" scale="65" r:id="rId1"/>
  <colBreaks count="1" manualBreakCount="1">
    <brk id="4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J26"/>
  <sheetViews>
    <sheetView zoomScale="98" zoomScaleNormal="98" zoomScalePageLayoutView="0" workbookViewId="0" topLeftCell="A1">
      <selection activeCell="B19" sqref="B19"/>
    </sheetView>
  </sheetViews>
  <sheetFormatPr defaultColWidth="9.140625" defaultRowHeight="12.75"/>
  <cols>
    <col min="1" max="1" width="67.7109375" style="0" customWidth="1"/>
    <col min="2" max="2" width="17.28125" style="0" customWidth="1"/>
    <col min="3" max="5" width="22.421875" style="0" customWidth="1"/>
  </cols>
  <sheetData>
    <row r="2" spans="1:5" ht="12.75">
      <c r="A2" s="4"/>
      <c r="B2" s="4"/>
      <c r="C2" s="4"/>
      <c r="D2" s="4"/>
      <c r="E2" s="4"/>
    </row>
    <row r="3" spans="1:9" ht="15.75">
      <c r="A3" s="15"/>
      <c r="B3" s="4"/>
      <c r="C3" s="4"/>
      <c r="D3" s="4"/>
      <c r="E3" s="4"/>
      <c r="F3" s="4"/>
      <c r="G3" s="4"/>
      <c r="H3" s="4"/>
      <c r="I3" s="4"/>
    </row>
    <row r="4" spans="1:9" ht="12.75">
      <c r="A4" s="4"/>
      <c r="B4" s="4"/>
      <c r="C4" s="4"/>
      <c r="D4" s="4"/>
      <c r="E4" s="4"/>
      <c r="F4" s="4"/>
      <c r="G4" s="4"/>
      <c r="H4" s="4"/>
      <c r="I4" s="4"/>
    </row>
    <row r="5" spans="1:9" ht="13.5" thickBot="1">
      <c r="A5" s="629"/>
      <c r="B5" s="630"/>
      <c r="C5" s="630"/>
      <c r="D5" s="410"/>
      <c r="E5" s="410"/>
      <c r="F5" s="4"/>
      <c r="G5" s="4"/>
      <c r="H5" s="4"/>
      <c r="I5" s="4"/>
    </row>
    <row r="6" spans="1:10" ht="14.25">
      <c r="A6" s="651"/>
      <c r="B6" s="652"/>
      <c r="C6" s="652"/>
      <c r="D6" s="653"/>
      <c r="E6" s="653"/>
      <c r="F6" s="653"/>
      <c r="G6" s="653"/>
      <c r="H6" s="653"/>
      <c r="I6" s="653"/>
      <c r="J6" s="4"/>
    </row>
    <row r="7" spans="1:5" ht="15">
      <c r="A7" s="633" t="s">
        <v>433</v>
      </c>
      <c r="B7" s="634"/>
      <c r="C7" s="654"/>
      <c r="D7" s="30"/>
      <c r="E7" s="30"/>
    </row>
    <row r="8" spans="1:5" ht="12.75">
      <c r="A8" s="629" t="s">
        <v>37</v>
      </c>
      <c r="B8" s="630"/>
      <c r="C8" s="655"/>
      <c r="D8" s="410"/>
      <c r="E8" s="410"/>
    </row>
    <row r="9" spans="1:5" ht="12.75">
      <c r="A9" s="631" t="s">
        <v>322</v>
      </c>
      <c r="B9" s="632"/>
      <c r="C9" s="656"/>
      <c r="D9" s="410"/>
      <c r="E9" s="410"/>
    </row>
    <row r="11" spans="2:3" ht="12.75">
      <c r="B11" s="1"/>
      <c r="C11" s="1"/>
    </row>
    <row r="12" ht="13.5" thickBot="1"/>
    <row r="13" spans="1:3" ht="12.75">
      <c r="A13" s="2"/>
      <c r="B13" s="657" t="s">
        <v>416</v>
      </c>
      <c r="C13" s="660" t="s">
        <v>423</v>
      </c>
    </row>
    <row r="14" spans="1:3" ht="12.75">
      <c r="A14" s="5"/>
      <c r="B14" s="658"/>
      <c r="C14" s="658"/>
    </row>
    <row r="15" spans="1:3" ht="26.25" customHeight="1" thickBot="1">
      <c r="A15" s="17" t="s">
        <v>36</v>
      </c>
      <c r="B15" s="659"/>
      <c r="C15" s="659"/>
    </row>
    <row r="16" spans="1:3" ht="12.75">
      <c r="A16" s="20"/>
      <c r="B16" s="11"/>
      <c r="C16" s="11"/>
    </row>
    <row r="17" spans="1:3" ht="12.75">
      <c r="A17" s="3"/>
      <c r="B17" s="436" t="s">
        <v>368</v>
      </c>
      <c r="C17" s="436" t="s">
        <v>368</v>
      </c>
    </row>
    <row r="18" spans="2:3" ht="12.75">
      <c r="B18" s="428"/>
      <c r="C18" s="430"/>
    </row>
    <row r="19" spans="1:3" ht="12.75">
      <c r="A19" s="35" t="s">
        <v>421</v>
      </c>
      <c r="B19" s="429">
        <f>2098899760/103.25</f>
        <v>20328326.973365616</v>
      </c>
      <c r="C19" s="429">
        <f>B19</f>
        <v>20328326.973365616</v>
      </c>
    </row>
    <row r="20" spans="1:3" ht="12.75">
      <c r="A20" s="24"/>
      <c r="B20" s="430"/>
      <c r="C20" s="430"/>
    </row>
    <row r="21" spans="1:3" ht="12.75">
      <c r="A21" s="35" t="s">
        <v>34</v>
      </c>
      <c r="B21" s="431">
        <v>0</v>
      </c>
      <c r="C21" s="431">
        <v>0</v>
      </c>
    </row>
    <row r="22" spans="1:3" ht="12.75">
      <c r="A22" s="34"/>
      <c r="B22" s="430"/>
      <c r="C22" s="430"/>
    </row>
    <row r="23" spans="1:3" ht="13.5" thickBot="1">
      <c r="A23" s="25"/>
      <c r="B23" s="432"/>
      <c r="C23" s="432"/>
    </row>
    <row r="24" spans="1:3" ht="13.5" thickBot="1">
      <c r="A24" s="21"/>
      <c r="B24" s="433"/>
      <c r="C24" s="433"/>
    </row>
    <row r="25" spans="1:3" ht="13.5" thickBot="1">
      <c r="A25" s="19" t="s">
        <v>35</v>
      </c>
      <c r="B25" s="434">
        <f>B19+B21</f>
        <v>20328326.973365616</v>
      </c>
      <c r="C25" s="434">
        <f>C19+C21</f>
        <v>20328326.973365616</v>
      </c>
    </row>
    <row r="26" spans="1:3" ht="12.75">
      <c r="A26" s="10"/>
      <c r="B26" s="12"/>
      <c r="C26" s="12"/>
    </row>
  </sheetData>
  <sheetProtection/>
  <mergeCells count="7">
    <mergeCell ref="A5:C5"/>
    <mergeCell ref="A6:I6"/>
    <mergeCell ref="A7:C7"/>
    <mergeCell ref="A8:C8"/>
    <mergeCell ref="A9:C9"/>
    <mergeCell ref="B13:B15"/>
    <mergeCell ref="C13:C1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I26"/>
  <sheetViews>
    <sheetView zoomScalePageLayoutView="0" workbookViewId="0" topLeftCell="C1">
      <selection activeCell="E5" sqref="E5"/>
    </sheetView>
  </sheetViews>
  <sheetFormatPr defaultColWidth="9.140625" defaultRowHeight="12.75"/>
  <cols>
    <col min="3" max="3" width="55.8515625" style="0" customWidth="1"/>
    <col min="4" max="4" width="32.28125" style="0" customWidth="1"/>
    <col min="5" max="5" width="20.421875" style="0" customWidth="1"/>
    <col min="6" max="6" width="13.421875" style="0" customWidth="1"/>
    <col min="7" max="7" width="14.28125" style="0" customWidth="1"/>
    <col min="8" max="8" width="12.7109375" style="0" customWidth="1"/>
  </cols>
  <sheetData>
    <row r="1" spans="3:8" ht="12.75">
      <c r="C1" s="629"/>
      <c r="D1" s="630"/>
      <c r="E1" s="655"/>
      <c r="F1" s="363"/>
      <c r="G1" s="363"/>
      <c r="H1" s="363"/>
    </row>
    <row r="2" spans="3:8" ht="12.75">
      <c r="C2" s="629" t="s">
        <v>43</v>
      </c>
      <c r="D2" s="630"/>
      <c r="E2" s="655"/>
      <c r="F2" s="363"/>
      <c r="G2" s="363"/>
      <c r="H2" s="363"/>
    </row>
    <row r="3" spans="3:8" ht="15">
      <c r="C3" s="633" t="s">
        <v>432</v>
      </c>
      <c r="D3" s="634"/>
      <c r="E3" s="654"/>
      <c r="F3" s="363"/>
      <c r="G3" s="363"/>
      <c r="H3" s="363"/>
    </row>
    <row r="4" spans="3:8" ht="15">
      <c r="C4" s="33" t="s">
        <v>26</v>
      </c>
      <c r="D4" s="30"/>
      <c r="E4" s="364"/>
      <c r="F4" s="363"/>
      <c r="G4" s="363"/>
      <c r="H4" s="363"/>
    </row>
    <row r="5" spans="3:8" ht="15">
      <c r="C5" s="29"/>
      <c r="D5" s="30"/>
      <c r="E5" s="364"/>
      <c r="F5" s="363"/>
      <c r="G5" s="363"/>
      <c r="H5" s="363"/>
    </row>
    <row r="6" spans="3:9" ht="36">
      <c r="C6" s="365" t="s">
        <v>23</v>
      </c>
      <c r="D6" s="31" t="s">
        <v>24</v>
      </c>
      <c r="E6" s="366" t="s">
        <v>25</v>
      </c>
      <c r="F6" s="367" t="s">
        <v>333</v>
      </c>
      <c r="G6" s="367" t="s">
        <v>334</v>
      </c>
      <c r="H6" s="367" t="s">
        <v>335</v>
      </c>
      <c r="I6" s="32"/>
    </row>
    <row r="7" spans="3:9" s="32" customFormat="1" ht="89.25">
      <c r="C7" s="368" t="s">
        <v>336</v>
      </c>
      <c r="D7" s="369" t="s">
        <v>337</v>
      </c>
      <c r="E7" s="370" t="s">
        <v>338</v>
      </c>
      <c r="F7" s="371">
        <v>600000</v>
      </c>
      <c r="G7" s="371">
        <v>600000</v>
      </c>
      <c r="H7" s="372" t="s">
        <v>339</v>
      </c>
      <c r="I7"/>
    </row>
    <row r="8" spans="3:8" ht="63.75">
      <c r="C8" s="24"/>
      <c r="D8" s="373" t="s">
        <v>340</v>
      </c>
      <c r="E8" s="374" t="s">
        <v>338</v>
      </c>
      <c r="F8" s="375">
        <v>500000</v>
      </c>
      <c r="G8" s="375">
        <v>500000</v>
      </c>
      <c r="H8" s="376" t="s">
        <v>339</v>
      </c>
    </row>
    <row r="9" spans="3:8" ht="25.5">
      <c r="C9" s="368" t="s">
        <v>27</v>
      </c>
      <c r="D9" s="377" t="s">
        <v>341</v>
      </c>
      <c r="E9" s="376" t="s">
        <v>342</v>
      </c>
      <c r="F9" s="378">
        <v>500000</v>
      </c>
      <c r="G9" s="376" t="s">
        <v>339</v>
      </c>
      <c r="H9" s="379">
        <v>500000</v>
      </c>
    </row>
    <row r="10" spans="3:8" ht="25.5">
      <c r="C10" s="380" t="s">
        <v>343</v>
      </c>
      <c r="D10" s="381" t="s">
        <v>344</v>
      </c>
      <c r="E10" s="382"/>
      <c r="F10" s="383"/>
      <c r="G10" s="382"/>
      <c r="H10" s="384"/>
    </row>
    <row r="11" spans="3:8" ht="38.25">
      <c r="C11" s="3"/>
      <c r="D11" s="385" t="s">
        <v>345</v>
      </c>
      <c r="E11" s="386" t="s">
        <v>419</v>
      </c>
      <c r="F11" s="387">
        <v>1200000</v>
      </c>
      <c r="G11" s="382" t="s">
        <v>339</v>
      </c>
      <c r="H11" s="387">
        <v>1200000</v>
      </c>
    </row>
    <row r="12" spans="3:8" ht="25.5">
      <c r="C12" s="3"/>
      <c r="D12" s="388" t="s">
        <v>346</v>
      </c>
      <c r="E12" s="389" t="s">
        <v>347</v>
      </c>
      <c r="F12" s="371">
        <v>600000</v>
      </c>
      <c r="G12" s="372" t="s">
        <v>339</v>
      </c>
      <c r="H12" s="371">
        <v>600000</v>
      </c>
    </row>
    <row r="13" spans="3:8" ht="51">
      <c r="C13" s="3"/>
      <c r="D13" s="390" t="s">
        <v>348</v>
      </c>
      <c r="E13" s="388" t="s">
        <v>417</v>
      </c>
      <c r="F13" s="371">
        <v>200000</v>
      </c>
      <c r="G13" s="372" t="s">
        <v>339</v>
      </c>
      <c r="H13" s="371">
        <v>200000</v>
      </c>
    </row>
    <row r="14" spans="3:8" ht="51">
      <c r="C14" s="3"/>
      <c r="D14" s="390" t="s">
        <v>349</v>
      </c>
      <c r="E14" s="388" t="s">
        <v>418</v>
      </c>
      <c r="F14" s="371">
        <v>300000</v>
      </c>
      <c r="G14" s="372" t="s">
        <v>339</v>
      </c>
      <c r="H14" s="371">
        <v>300000</v>
      </c>
    </row>
    <row r="15" spans="3:8" ht="38.25">
      <c r="C15" s="3"/>
      <c r="D15" s="390" t="s">
        <v>350</v>
      </c>
      <c r="E15" s="388" t="s">
        <v>351</v>
      </c>
      <c r="F15" s="371">
        <v>500000</v>
      </c>
      <c r="G15" s="372" t="s">
        <v>339</v>
      </c>
      <c r="H15" s="371">
        <v>500000</v>
      </c>
    </row>
    <row r="16" spans="3:8" ht="12.75">
      <c r="C16" s="3"/>
      <c r="D16" s="390" t="s">
        <v>352</v>
      </c>
      <c r="E16" s="372" t="s">
        <v>353</v>
      </c>
      <c r="F16" s="371">
        <v>900000</v>
      </c>
      <c r="G16" s="372" t="s">
        <v>339</v>
      </c>
      <c r="H16" s="371">
        <v>900000</v>
      </c>
    </row>
    <row r="17" spans="3:8" ht="25.5">
      <c r="C17" s="3"/>
      <c r="D17" s="391" t="s">
        <v>354</v>
      </c>
      <c r="E17" s="372" t="s">
        <v>342</v>
      </c>
      <c r="F17" s="371">
        <v>100000</v>
      </c>
      <c r="G17" s="372" t="s">
        <v>339</v>
      </c>
      <c r="H17" s="371">
        <v>100000</v>
      </c>
    </row>
    <row r="18" spans="3:8" ht="51">
      <c r="C18" s="368" t="s">
        <v>28</v>
      </c>
      <c r="D18" s="390" t="s">
        <v>355</v>
      </c>
      <c r="E18" s="372" t="s">
        <v>356</v>
      </c>
      <c r="F18" s="371">
        <v>75000</v>
      </c>
      <c r="G18" s="372" t="s">
        <v>339</v>
      </c>
      <c r="H18" s="371">
        <v>75000</v>
      </c>
    </row>
    <row r="19" spans="3:8" ht="25.5">
      <c r="C19" s="380" t="s">
        <v>357</v>
      </c>
      <c r="D19" s="390" t="s">
        <v>358</v>
      </c>
      <c r="E19" s="372" t="s">
        <v>359</v>
      </c>
      <c r="F19" s="371">
        <v>75000</v>
      </c>
      <c r="G19" s="372" t="s">
        <v>339</v>
      </c>
      <c r="H19" s="371">
        <v>75000</v>
      </c>
    </row>
    <row r="20" spans="3:8" ht="38.25">
      <c r="C20" s="3"/>
      <c r="D20" s="390" t="s">
        <v>360</v>
      </c>
      <c r="E20" s="372" t="s">
        <v>359</v>
      </c>
      <c r="F20" s="371">
        <v>75000</v>
      </c>
      <c r="G20" s="372" t="s">
        <v>339</v>
      </c>
      <c r="H20" s="371">
        <v>75000</v>
      </c>
    </row>
    <row r="21" spans="3:8" ht="51">
      <c r="C21" s="3"/>
      <c r="D21" s="392" t="s">
        <v>361</v>
      </c>
      <c r="E21" s="388" t="s">
        <v>362</v>
      </c>
      <c r="F21" s="371">
        <v>75000</v>
      </c>
      <c r="G21" s="372" t="s">
        <v>339</v>
      </c>
      <c r="H21" s="371">
        <v>75000</v>
      </c>
    </row>
    <row r="22" spans="3:8" ht="25.5">
      <c r="C22" s="393" t="s">
        <v>29</v>
      </c>
      <c r="D22" s="394" t="s">
        <v>363</v>
      </c>
      <c r="E22" s="395" t="s">
        <v>342</v>
      </c>
      <c r="F22" s="375">
        <v>150000</v>
      </c>
      <c r="G22" s="395" t="s">
        <v>339</v>
      </c>
      <c r="H22" s="375">
        <v>150000</v>
      </c>
    </row>
    <row r="23" spans="3:8" ht="25.5">
      <c r="C23" s="396" t="s">
        <v>364</v>
      </c>
      <c r="D23" s="397" t="s">
        <v>365</v>
      </c>
      <c r="E23" s="383"/>
      <c r="F23" s="382"/>
      <c r="G23" s="383"/>
      <c r="H23" s="382"/>
    </row>
    <row r="24" spans="3:8" ht="25.5">
      <c r="C24" s="398"/>
      <c r="D24" s="399" t="s">
        <v>366</v>
      </c>
      <c r="E24" s="376" t="s">
        <v>342</v>
      </c>
      <c r="F24" s="375">
        <v>150000</v>
      </c>
      <c r="G24" s="400" t="s">
        <v>339</v>
      </c>
      <c r="H24" s="375">
        <v>150000</v>
      </c>
    </row>
    <row r="25" spans="3:8" ht="12.75">
      <c r="C25" s="398"/>
      <c r="D25" s="401"/>
      <c r="E25" s="402"/>
      <c r="F25" s="402"/>
      <c r="G25" s="403"/>
      <c r="H25" s="402"/>
    </row>
    <row r="26" spans="3:8" ht="25.5">
      <c r="C26" s="8"/>
      <c r="D26" s="404" t="s">
        <v>367</v>
      </c>
      <c r="E26" s="382"/>
      <c r="F26" s="382"/>
      <c r="G26" s="405"/>
      <c r="H26" s="382"/>
    </row>
  </sheetData>
  <sheetProtection/>
  <mergeCells count="3">
    <mergeCell ref="C2:E2"/>
    <mergeCell ref="C3:E3"/>
    <mergeCell ref="C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4"/>
  <sheetViews>
    <sheetView zoomScale="190" zoomScaleNormal="190" zoomScalePageLayoutView="0" workbookViewId="0" topLeftCell="A193">
      <selection activeCell="B80" sqref="B80:H80"/>
    </sheetView>
  </sheetViews>
  <sheetFormatPr defaultColWidth="9.140625" defaultRowHeight="12.75"/>
  <cols>
    <col min="1" max="1" width="5.28125" style="0" customWidth="1"/>
    <col min="2" max="2" width="31.7109375" style="43" customWidth="1"/>
    <col min="3" max="3" width="8.28125" style="0" customWidth="1"/>
    <col min="4" max="4" width="8.7109375" style="0" customWidth="1"/>
    <col min="5" max="5" width="7.140625" style="360" customWidth="1"/>
    <col min="6" max="6" width="7.140625" style="0" hidden="1" customWidth="1"/>
    <col min="7" max="7" width="6.00390625" style="0" hidden="1" customWidth="1"/>
    <col min="8" max="8" width="7.28125" style="0" hidden="1" customWidth="1"/>
    <col min="9" max="9" width="0.2890625" style="0" customWidth="1"/>
    <col min="10" max="10" width="7.421875" style="0" hidden="1" customWidth="1"/>
    <col min="11" max="11" width="4.28125" style="0" customWidth="1"/>
    <col min="12" max="12" width="9.421875" style="0" customWidth="1"/>
    <col min="13" max="13" width="10.8515625" style="0" customWidth="1"/>
    <col min="14" max="14" width="10.8515625" style="326" customWidth="1"/>
    <col min="15" max="15" width="9.8515625" style="0" customWidth="1"/>
    <col min="16" max="16" width="8.8515625" style="326" customWidth="1"/>
  </cols>
  <sheetData>
    <row r="1" spans="1:10" ht="12.75">
      <c r="A1" s="44"/>
      <c r="B1" s="679" t="s">
        <v>43</v>
      </c>
      <c r="C1" s="680"/>
      <c r="D1" s="680"/>
      <c r="E1" s="680"/>
      <c r="F1" s="680"/>
      <c r="G1" s="680"/>
      <c r="H1" s="681"/>
      <c r="I1" s="45"/>
      <c r="J1" s="45"/>
    </row>
    <row r="2" spans="1:10" ht="12.75">
      <c r="A2" s="682" t="s">
        <v>44</v>
      </c>
      <c r="B2" s="683"/>
      <c r="C2" s="683"/>
      <c r="D2" s="683"/>
      <c r="E2" s="683"/>
      <c r="F2" s="683"/>
      <c r="G2" s="683"/>
      <c r="H2" s="684"/>
      <c r="I2" s="45"/>
      <c r="J2" s="45"/>
    </row>
    <row r="3" spans="1:10" ht="12.75">
      <c r="A3" s="685" t="s">
        <v>414</v>
      </c>
      <c r="B3" s="686"/>
      <c r="C3" s="686"/>
      <c r="D3" s="686"/>
      <c r="E3" s="686"/>
      <c r="F3" s="686"/>
      <c r="G3" s="686"/>
      <c r="H3" s="687"/>
      <c r="I3" s="45"/>
      <c r="J3" s="45"/>
    </row>
    <row r="4" spans="1:10" ht="12.75">
      <c r="A4" s="46" t="s">
        <v>45</v>
      </c>
      <c r="B4" s="291" t="s">
        <v>46</v>
      </c>
      <c r="C4" s="47" t="s">
        <v>47</v>
      </c>
      <c r="D4" s="48" t="s">
        <v>48</v>
      </c>
      <c r="E4" s="48"/>
      <c r="F4" s="48"/>
      <c r="G4" s="48"/>
      <c r="H4" s="688" t="s">
        <v>49</v>
      </c>
      <c r="I4" s="45"/>
      <c r="J4" s="45"/>
    </row>
    <row r="5" spans="1:15" ht="27.75">
      <c r="A5" s="49"/>
      <c r="B5" s="292" t="s">
        <v>50</v>
      </c>
      <c r="C5" s="50" t="s">
        <v>51</v>
      </c>
      <c r="D5" s="51" t="s">
        <v>52</v>
      </c>
      <c r="E5" s="51" t="s">
        <v>53</v>
      </c>
      <c r="F5" s="51" t="s">
        <v>54</v>
      </c>
      <c r="G5" s="51" t="s">
        <v>55</v>
      </c>
      <c r="H5" s="689"/>
      <c r="I5" s="691" t="s">
        <v>39</v>
      </c>
      <c r="J5" s="691" t="s">
        <v>40</v>
      </c>
      <c r="L5" s="661" t="s">
        <v>415</v>
      </c>
      <c r="M5" s="661"/>
      <c r="N5" s="661"/>
      <c r="O5" s="661"/>
    </row>
    <row r="6" spans="1:16" ht="25.5">
      <c r="A6" s="49"/>
      <c r="B6" s="293"/>
      <c r="C6" s="50" t="s">
        <v>56</v>
      </c>
      <c r="D6" s="52" t="s">
        <v>57</v>
      </c>
      <c r="E6" s="52" t="s">
        <v>57</v>
      </c>
      <c r="F6" s="52" t="s">
        <v>57</v>
      </c>
      <c r="G6" s="52" t="s">
        <v>57</v>
      </c>
      <c r="H6" s="690"/>
      <c r="I6" s="692"/>
      <c r="J6" s="692"/>
      <c r="L6" s="325" t="s">
        <v>426</v>
      </c>
      <c r="M6" s="325" t="s">
        <v>324</v>
      </c>
      <c r="N6" s="325" t="s">
        <v>428</v>
      </c>
      <c r="O6" s="352" t="s">
        <v>427</v>
      </c>
      <c r="P6" s="325" t="s">
        <v>320</v>
      </c>
    </row>
    <row r="7" spans="1:16" ht="12.75">
      <c r="A7" s="53"/>
      <c r="B7" s="294"/>
      <c r="C7" s="54"/>
      <c r="D7" s="55" t="s">
        <v>58</v>
      </c>
      <c r="E7" s="55" t="s">
        <v>59</v>
      </c>
      <c r="F7" s="55" t="s">
        <v>60</v>
      </c>
      <c r="G7" s="56" t="s">
        <v>61</v>
      </c>
      <c r="H7" s="57"/>
      <c r="I7" s="58"/>
      <c r="J7" s="58"/>
      <c r="L7" s="327"/>
      <c r="M7" s="327"/>
      <c r="N7" s="327"/>
      <c r="O7" s="353"/>
      <c r="P7" s="355"/>
    </row>
    <row r="8" spans="1:16" ht="63.75">
      <c r="A8" s="59">
        <v>1.2</v>
      </c>
      <c r="B8" s="60" t="s">
        <v>62</v>
      </c>
      <c r="C8" s="61"/>
      <c r="D8" s="62"/>
      <c r="E8" s="62"/>
      <c r="F8" s="62"/>
      <c r="G8" s="62"/>
      <c r="H8" s="63"/>
      <c r="I8" s="64"/>
      <c r="J8" s="65"/>
      <c r="L8" s="327"/>
      <c r="M8" s="327"/>
      <c r="N8" s="327"/>
      <c r="O8" s="353"/>
      <c r="P8" s="355"/>
    </row>
    <row r="9" spans="1:16" ht="12.75">
      <c r="A9" s="66" t="s">
        <v>63</v>
      </c>
      <c r="B9" s="295" t="s">
        <v>64</v>
      </c>
      <c r="C9" s="68">
        <v>2000</v>
      </c>
      <c r="D9" s="69">
        <v>2000</v>
      </c>
      <c r="E9" s="70">
        <v>0</v>
      </c>
      <c r="F9" s="70">
        <v>0</v>
      </c>
      <c r="G9" s="70">
        <v>0</v>
      </c>
      <c r="H9" s="71">
        <f>D9+E9+F9+G9</f>
        <v>2000</v>
      </c>
      <c r="I9" s="71">
        <f>E9+F9+G9+H9</f>
        <v>2000</v>
      </c>
      <c r="J9" s="72">
        <v>0</v>
      </c>
      <c r="L9" s="337">
        <f>431600</f>
        <v>431600</v>
      </c>
      <c r="M9" s="337"/>
      <c r="N9" s="328">
        <f>L9+M9</f>
        <v>431600</v>
      </c>
      <c r="O9" s="354">
        <f>101.45*(D9+E9)-N9</f>
        <v>-228700</v>
      </c>
      <c r="P9" s="356"/>
    </row>
    <row r="10" spans="1:16" ht="13.5" thickBot="1">
      <c r="A10" s="73" t="s">
        <v>65</v>
      </c>
      <c r="B10" s="295" t="s">
        <v>66</v>
      </c>
      <c r="C10" s="74">
        <v>3000</v>
      </c>
      <c r="D10" s="75">
        <v>3000</v>
      </c>
      <c r="E10" s="76">
        <v>0</v>
      </c>
      <c r="F10" s="76">
        <v>0</v>
      </c>
      <c r="G10" s="76">
        <v>0</v>
      </c>
      <c r="H10" s="71">
        <f>D10+E10+F10+G10</f>
        <v>3000</v>
      </c>
      <c r="I10" s="71">
        <v>3000</v>
      </c>
      <c r="J10" s="72">
        <v>0</v>
      </c>
      <c r="L10" s="331">
        <f>233900</f>
        <v>233900</v>
      </c>
      <c r="M10" s="331"/>
      <c r="N10" s="328">
        <f>L10+M10</f>
        <v>233900</v>
      </c>
      <c r="O10" s="354">
        <f>101.45*(D10+E10)-N10</f>
        <v>70450</v>
      </c>
      <c r="P10" s="356"/>
    </row>
    <row r="11" spans="1:16" ht="13.5" thickBot="1">
      <c r="A11" s="77"/>
      <c r="B11" s="296" t="s">
        <v>67</v>
      </c>
      <c r="C11" s="78">
        <f aca="true" t="shared" si="0" ref="C11:I11">SUM(C9:C10)</f>
        <v>5000</v>
      </c>
      <c r="D11" s="79">
        <f>SUM(D9:D10)</f>
        <v>5000</v>
      </c>
      <c r="E11" s="79">
        <f t="shared" si="0"/>
        <v>0</v>
      </c>
      <c r="F11" s="79">
        <f t="shared" si="0"/>
        <v>0</v>
      </c>
      <c r="G11" s="79">
        <f t="shared" si="0"/>
        <v>0</v>
      </c>
      <c r="H11" s="80">
        <f t="shared" si="0"/>
        <v>5000</v>
      </c>
      <c r="I11" s="80">
        <f t="shared" si="0"/>
        <v>5000</v>
      </c>
      <c r="J11" s="72">
        <v>0</v>
      </c>
      <c r="L11" s="332">
        <f>SUM(L9:L10)</f>
        <v>665500</v>
      </c>
      <c r="M11" s="333">
        <f>SUM(M9:M10)</f>
        <v>0</v>
      </c>
      <c r="N11" s="328">
        <f>L11+M11</f>
        <v>665500</v>
      </c>
      <c r="O11" s="354">
        <f>SUM(O9:O10)</f>
        <v>-158250</v>
      </c>
      <c r="P11" s="356">
        <f>N11/(101.45*D11+E11)</f>
        <v>1.3119763430261213</v>
      </c>
    </row>
    <row r="12" spans="1:16" ht="18.75">
      <c r="A12" s="81">
        <v>1.3</v>
      </c>
      <c r="B12" s="297" t="s">
        <v>68</v>
      </c>
      <c r="C12" s="82"/>
      <c r="D12" s="83"/>
      <c r="E12" s="83"/>
      <c r="F12" s="83"/>
      <c r="G12" s="83"/>
      <c r="H12" s="82"/>
      <c r="I12" s="82"/>
      <c r="J12" s="84"/>
      <c r="L12" s="330"/>
      <c r="M12" s="330"/>
      <c r="N12" s="328"/>
      <c r="O12" s="354"/>
      <c r="P12" s="356"/>
    </row>
    <row r="13" spans="1:16" ht="12.75">
      <c r="A13" s="85" t="s">
        <v>69</v>
      </c>
      <c r="B13" s="295" t="s">
        <v>38</v>
      </c>
      <c r="C13" s="86">
        <v>15000</v>
      </c>
      <c r="D13" s="87">
        <v>15000</v>
      </c>
      <c r="E13" s="88">
        <v>0</v>
      </c>
      <c r="F13" s="88">
        <v>0</v>
      </c>
      <c r="G13" s="88">
        <v>0</v>
      </c>
      <c r="H13" s="71">
        <f>D13+E13+F13+G13</f>
        <v>15000</v>
      </c>
      <c r="I13" s="89">
        <v>15000</v>
      </c>
      <c r="J13" s="89">
        <v>0</v>
      </c>
      <c r="L13" s="328">
        <f>(1156340-60555)</f>
        <v>1095785</v>
      </c>
      <c r="M13" s="328"/>
      <c r="N13" s="328">
        <f aca="true" t="shared" si="1" ref="N13:N74">L13+M13</f>
        <v>1095785</v>
      </c>
      <c r="O13" s="354">
        <f>101.45*(D13+E13)-N13</f>
        <v>425965</v>
      </c>
      <c r="P13" s="356"/>
    </row>
    <row r="14" spans="1:16" ht="13.5" thickBot="1">
      <c r="A14" s="90" t="s">
        <v>70</v>
      </c>
      <c r="B14" s="295" t="s">
        <v>71</v>
      </c>
      <c r="C14" s="91">
        <v>6200</v>
      </c>
      <c r="D14" s="92">
        <v>6200</v>
      </c>
      <c r="E14" s="93">
        <v>0</v>
      </c>
      <c r="F14" s="93">
        <v>0</v>
      </c>
      <c r="G14" s="93">
        <v>0</v>
      </c>
      <c r="H14" s="71">
        <f>D14+E14+F14+G14</f>
        <v>6200</v>
      </c>
      <c r="I14" s="89">
        <v>0</v>
      </c>
      <c r="J14" s="89">
        <v>6200</v>
      </c>
      <c r="L14" s="331">
        <f>518000</f>
        <v>518000</v>
      </c>
      <c r="M14" s="331"/>
      <c r="N14" s="328">
        <f t="shared" si="1"/>
        <v>518000</v>
      </c>
      <c r="O14" s="354">
        <f>101.45*(D14+E14)-N14</f>
        <v>110990</v>
      </c>
      <c r="P14" s="356"/>
    </row>
    <row r="15" spans="1:16" ht="13.5" thickBot="1">
      <c r="A15" s="77"/>
      <c r="B15" s="296" t="s">
        <v>67</v>
      </c>
      <c r="C15" s="94">
        <f aca="true" t="shared" si="2" ref="C15:H15">SUM(C13:C14)</f>
        <v>21200</v>
      </c>
      <c r="D15" s="78">
        <f t="shared" si="2"/>
        <v>21200</v>
      </c>
      <c r="E15" s="78">
        <f t="shared" si="2"/>
        <v>0</v>
      </c>
      <c r="F15" s="78">
        <f t="shared" si="2"/>
        <v>0</v>
      </c>
      <c r="G15" s="78">
        <f t="shared" si="2"/>
        <v>0</v>
      </c>
      <c r="H15" s="95">
        <f t="shared" si="2"/>
        <v>21200</v>
      </c>
      <c r="I15" s="96">
        <f>SUM(I13:I14)</f>
        <v>15000</v>
      </c>
      <c r="J15" s="96">
        <f>SUM(J13:J14)</f>
        <v>6200</v>
      </c>
      <c r="L15" s="332">
        <f>SUM(L13:L14)</f>
        <v>1613785</v>
      </c>
      <c r="M15" s="332">
        <f>SUM(M13:M14)</f>
        <v>0</v>
      </c>
      <c r="N15" s="419">
        <f t="shared" si="1"/>
        <v>1613785</v>
      </c>
      <c r="O15" s="420">
        <f>SUM(O13:O14)</f>
        <v>536955</v>
      </c>
      <c r="P15" s="421">
        <f>N15/(D15*101.45)</f>
        <v>0.7503394180607604</v>
      </c>
    </row>
    <row r="16" spans="1:16" ht="18.75">
      <c r="A16" s="97">
        <v>1.4</v>
      </c>
      <c r="B16" s="298" t="s">
        <v>72</v>
      </c>
      <c r="C16" s="98"/>
      <c r="D16" s="99"/>
      <c r="E16" s="99"/>
      <c r="F16" s="99"/>
      <c r="G16" s="99"/>
      <c r="H16" s="100"/>
      <c r="I16" s="65"/>
      <c r="J16" s="65"/>
      <c r="L16" s="330"/>
      <c r="M16" s="330"/>
      <c r="N16" s="330"/>
      <c r="O16" s="417">
        <f>(D16+E16)-N16</f>
        <v>0</v>
      </c>
      <c r="P16" s="418"/>
    </row>
    <row r="17" spans="1:16" ht="19.5" thickBot="1">
      <c r="A17" s="73" t="s">
        <v>73</v>
      </c>
      <c r="B17" s="295" t="s">
        <v>74</v>
      </c>
      <c r="C17" s="101">
        <v>3000</v>
      </c>
      <c r="D17" s="75"/>
      <c r="E17" s="76">
        <v>3000</v>
      </c>
      <c r="F17" s="76">
        <v>0</v>
      </c>
      <c r="G17" s="76">
        <v>0</v>
      </c>
      <c r="H17" s="102">
        <f>D17+E17+F17+G17</f>
        <v>3000</v>
      </c>
      <c r="I17" s="102">
        <v>3000</v>
      </c>
      <c r="J17" s="89">
        <v>0</v>
      </c>
      <c r="L17" s="331">
        <f>347070</f>
        <v>347070</v>
      </c>
      <c r="M17" s="331">
        <f>0/100</f>
        <v>0</v>
      </c>
      <c r="N17" s="328">
        <f t="shared" si="1"/>
        <v>347070</v>
      </c>
      <c r="O17" s="354">
        <f>101.45*(D17+E17)-N17</f>
        <v>-42720</v>
      </c>
      <c r="P17" s="356"/>
    </row>
    <row r="18" spans="1:16" ht="13.5" thickBot="1">
      <c r="A18" s="103"/>
      <c r="B18" s="299" t="s">
        <v>75</v>
      </c>
      <c r="C18" s="104">
        <f aca="true" t="shared" si="3" ref="C18:H18">SUM(C17:C17)</f>
        <v>3000</v>
      </c>
      <c r="D18" s="105">
        <f t="shared" si="3"/>
        <v>0</v>
      </c>
      <c r="E18" s="106">
        <f t="shared" si="3"/>
        <v>3000</v>
      </c>
      <c r="F18" s="106">
        <f t="shared" si="3"/>
        <v>0</v>
      </c>
      <c r="G18" s="106">
        <f t="shared" si="3"/>
        <v>0</v>
      </c>
      <c r="H18" s="107">
        <f t="shared" si="3"/>
        <v>3000</v>
      </c>
      <c r="I18" s="96">
        <f>SUM(I17)</f>
        <v>3000</v>
      </c>
      <c r="J18" s="96">
        <f>SUM(J17)</f>
        <v>0</v>
      </c>
      <c r="L18" s="335">
        <f>L17</f>
        <v>347070</v>
      </c>
      <c r="M18" s="335">
        <f>M17</f>
        <v>0</v>
      </c>
      <c r="N18" s="419">
        <f t="shared" si="1"/>
        <v>347070</v>
      </c>
      <c r="O18" s="420">
        <f>SUM(O17)</f>
        <v>-42720</v>
      </c>
      <c r="P18" s="421">
        <f>N18/(101.45*D18+E18)/100</f>
        <v>1.1569</v>
      </c>
    </row>
    <row r="19" spans="1:16" ht="12.75">
      <c r="A19" s="108">
        <v>1.5</v>
      </c>
      <c r="B19" s="672" t="s">
        <v>76</v>
      </c>
      <c r="C19" s="672"/>
      <c r="D19" s="672"/>
      <c r="E19" s="672"/>
      <c r="F19" s="672"/>
      <c r="G19" s="672"/>
      <c r="H19" s="672"/>
      <c r="I19" s="672"/>
      <c r="J19" s="672"/>
      <c r="L19" s="330"/>
      <c r="M19" s="330"/>
      <c r="N19" s="330">
        <f t="shared" si="1"/>
        <v>0</v>
      </c>
      <c r="O19" s="417">
        <f>(D19+E19)-N19</f>
        <v>0</v>
      </c>
      <c r="P19" s="418"/>
    </row>
    <row r="20" spans="1:16" ht="12.75">
      <c r="A20" s="109" t="s">
        <v>77</v>
      </c>
      <c r="B20" s="295" t="s">
        <v>78</v>
      </c>
      <c r="C20" s="110">
        <v>110000</v>
      </c>
      <c r="D20" s="87">
        <v>0</v>
      </c>
      <c r="E20" s="87">
        <v>110000</v>
      </c>
      <c r="F20" s="87">
        <v>0</v>
      </c>
      <c r="G20" s="87">
        <v>0</v>
      </c>
      <c r="H20" s="111">
        <f>D20+E20+F20+G20</f>
        <v>110000</v>
      </c>
      <c r="I20" s="112">
        <v>110000</v>
      </c>
      <c r="J20" s="112">
        <v>0</v>
      </c>
      <c r="L20" s="328"/>
      <c r="M20" s="328"/>
      <c r="N20" s="328">
        <f t="shared" si="1"/>
        <v>0</v>
      </c>
      <c r="O20" s="354">
        <f>101.45*(D20+E20)-N20</f>
        <v>11159500</v>
      </c>
      <c r="P20" s="356"/>
    </row>
    <row r="21" spans="1:16" ht="19.5" thickBot="1">
      <c r="A21" s="113" t="s">
        <v>79</v>
      </c>
      <c r="B21" s="295" t="s">
        <v>80</v>
      </c>
      <c r="C21" s="114">
        <v>50000</v>
      </c>
      <c r="D21" s="69">
        <v>0</v>
      </c>
      <c r="E21" s="69">
        <v>50000</v>
      </c>
      <c r="F21" s="75">
        <v>0</v>
      </c>
      <c r="G21" s="69">
        <v>0</v>
      </c>
      <c r="H21" s="115">
        <f>D21+E21+F21+G21</f>
        <v>50000</v>
      </c>
      <c r="I21" s="89">
        <v>50000</v>
      </c>
      <c r="J21" s="89">
        <v>0</v>
      </c>
      <c r="L21" s="331">
        <v>1574655</v>
      </c>
      <c r="M21" s="331">
        <v>0</v>
      </c>
      <c r="N21" s="328">
        <f t="shared" si="1"/>
        <v>1574655</v>
      </c>
      <c r="O21" s="354">
        <f>101.45*(D21+E21)-N21</f>
        <v>3497845</v>
      </c>
      <c r="P21" s="356"/>
    </row>
    <row r="22" spans="1:16" ht="13.5" thickBot="1">
      <c r="A22" s="103"/>
      <c r="B22" s="299" t="s">
        <v>75</v>
      </c>
      <c r="C22" s="104">
        <f>SUM(C20:C21)</f>
        <v>160000</v>
      </c>
      <c r="D22" s="116">
        <v>0</v>
      </c>
      <c r="E22" s="116">
        <v>160000</v>
      </c>
      <c r="F22" s="117">
        <v>0</v>
      </c>
      <c r="G22" s="116">
        <v>0</v>
      </c>
      <c r="H22" s="107">
        <f>SUM(H20:H21)</f>
        <v>160000</v>
      </c>
      <c r="I22" s="118">
        <f>SUM(I20:I21)</f>
        <v>160000</v>
      </c>
      <c r="J22" s="119">
        <f>SUM(J20:J21)</f>
        <v>0</v>
      </c>
      <c r="L22" s="332">
        <f>SUM(L20:L21)</f>
        <v>1574655</v>
      </c>
      <c r="M22" s="332">
        <f>M20+M21</f>
        <v>0</v>
      </c>
      <c r="N22" s="328">
        <f t="shared" si="1"/>
        <v>1574655</v>
      </c>
      <c r="O22" s="354">
        <f>SUM(O20:O21)</f>
        <v>14657345</v>
      </c>
      <c r="P22" s="421">
        <f>N22/(101.45*E22)</f>
        <v>0.0970093026121242</v>
      </c>
    </row>
    <row r="23" spans="1:16" ht="12.75">
      <c r="A23" s="120">
        <v>1.6</v>
      </c>
      <c r="B23" s="673" t="s">
        <v>81</v>
      </c>
      <c r="C23" s="674"/>
      <c r="D23" s="674"/>
      <c r="E23" s="674"/>
      <c r="F23" s="674"/>
      <c r="G23" s="674"/>
      <c r="H23" s="674"/>
      <c r="I23" s="674"/>
      <c r="J23" s="675"/>
      <c r="L23" s="330"/>
      <c r="M23" s="330"/>
      <c r="N23" s="328"/>
      <c r="O23" s="354"/>
      <c r="P23" s="356"/>
    </row>
    <row r="24" spans="1:16" ht="13.5" thickBot="1">
      <c r="A24" s="109" t="s">
        <v>82</v>
      </c>
      <c r="B24" s="295" t="s">
        <v>83</v>
      </c>
      <c r="C24" s="121">
        <v>10000</v>
      </c>
      <c r="D24" s="122">
        <v>0</v>
      </c>
      <c r="E24" s="122">
        <v>0</v>
      </c>
      <c r="F24" s="122">
        <v>0</v>
      </c>
      <c r="G24" s="122">
        <v>10000</v>
      </c>
      <c r="H24" s="123">
        <f>D24+E24+F24+G24</f>
        <v>10000</v>
      </c>
      <c r="I24" s="124">
        <v>10000</v>
      </c>
      <c r="J24" s="89">
        <f>SUM(J20:J23)</f>
        <v>0</v>
      </c>
      <c r="L24" s="328"/>
      <c r="M24" s="328"/>
      <c r="N24" s="328">
        <f t="shared" si="1"/>
        <v>0</v>
      </c>
      <c r="O24" s="354">
        <f>101.45*(D24+E24)-N24</f>
        <v>0</v>
      </c>
      <c r="P24" s="356"/>
    </row>
    <row r="25" spans="1:16" ht="13.5" thickBot="1">
      <c r="A25" s="109" t="s">
        <v>84</v>
      </c>
      <c r="B25" s="295" t="s">
        <v>85</v>
      </c>
      <c r="C25" s="125">
        <v>2000</v>
      </c>
      <c r="D25" s="126">
        <v>0</v>
      </c>
      <c r="E25" s="126">
        <v>0</v>
      </c>
      <c r="F25" s="126">
        <v>2000</v>
      </c>
      <c r="G25" s="126">
        <v>0</v>
      </c>
      <c r="H25" s="127">
        <f>D25+E25+F25+G25</f>
        <v>2000</v>
      </c>
      <c r="I25" s="124">
        <v>2000</v>
      </c>
      <c r="J25" s="89">
        <f>SUM(J21:J24)</f>
        <v>0</v>
      </c>
      <c r="L25" s="328"/>
      <c r="M25" s="328"/>
      <c r="N25" s="328">
        <f t="shared" si="1"/>
        <v>0</v>
      </c>
      <c r="O25" s="354">
        <f>101.45*(D25+E25)-N25</f>
        <v>0</v>
      </c>
      <c r="P25" s="356"/>
    </row>
    <row r="26" spans="1:16" ht="28.5" thickBot="1">
      <c r="A26" s="128" t="s">
        <v>86</v>
      </c>
      <c r="B26" s="295" t="s">
        <v>87</v>
      </c>
      <c r="C26" s="129">
        <v>8200</v>
      </c>
      <c r="D26" s="126">
        <v>0</v>
      </c>
      <c r="E26" s="126">
        <v>8200</v>
      </c>
      <c r="F26" s="130">
        <v>0</v>
      </c>
      <c r="G26" s="126">
        <v>0</v>
      </c>
      <c r="H26" s="127">
        <f>D26+E26+F26+G26</f>
        <v>8200</v>
      </c>
      <c r="I26" s="124">
        <v>8200</v>
      </c>
      <c r="J26" s="89">
        <f>SUM(J22:J25)</f>
        <v>0</v>
      </c>
      <c r="L26" s="328">
        <f>620175</f>
        <v>620175</v>
      </c>
      <c r="M26" s="328"/>
      <c r="N26" s="328">
        <f t="shared" si="1"/>
        <v>620175</v>
      </c>
      <c r="O26" s="354">
        <f>101.45*(D26+E26)-N26</f>
        <v>211715</v>
      </c>
      <c r="P26" s="356"/>
    </row>
    <row r="27" spans="1:16" ht="13.5" thickBot="1">
      <c r="A27" s="128" t="s">
        <v>88</v>
      </c>
      <c r="B27" s="295" t="s">
        <v>89</v>
      </c>
      <c r="C27" s="129">
        <v>8000</v>
      </c>
      <c r="D27" s="126">
        <v>0</v>
      </c>
      <c r="E27" s="126">
        <v>8000</v>
      </c>
      <c r="F27" s="130">
        <v>0</v>
      </c>
      <c r="G27" s="126">
        <v>0</v>
      </c>
      <c r="H27" s="127">
        <f>D27+E27+F27+G27</f>
        <v>8000</v>
      </c>
      <c r="I27" s="124">
        <v>8000</v>
      </c>
      <c r="J27" s="89">
        <f>SUM(J23:J26)</f>
        <v>0</v>
      </c>
      <c r="L27" s="331">
        <f>620175</f>
        <v>620175</v>
      </c>
      <c r="M27" s="331"/>
      <c r="N27" s="328">
        <f t="shared" si="1"/>
        <v>620175</v>
      </c>
      <c r="O27" s="354">
        <f>101.45*(D27+E27)-N27</f>
        <v>191425</v>
      </c>
      <c r="P27" s="356"/>
    </row>
    <row r="28" spans="1:16" ht="13.5" thickBot="1">
      <c r="A28" s="131"/>
      <c r="B28" s="300" t="s">
        <v>75</v>
      </c>
      <c r="C28" s="132">
        <f aca="true" t="shared" si="4" ref="C28:H28">SUM(C24:C27)</f>
        <v>28200</v>
      </c>
      <c r="D28" s="133">
        <f t="shared" si="4"/>
        <v>0</v>
      </c>
      <c r="E28" s="133">
        <f t="shared" si="4"/>
        <v>16200</v>
      </c>
      <c r="F28" s="133">
        <f t="shared" si="4"/>
        <v>2000</v>
      </c>
      <c r="G28" s="133">
        <f t="shared" si="4"/>
        <v>10000</v>
      </c>
      <c r="H28" s="134">
        <f t="shared" si="4"/>
        <v>28200</v>
      </c>
      <c r="I28" s="118">
        <f>SUM(I24:I27)</f>
        <v>28200</v>
      </c>
      <c r="J28" s="119">
        <f>SUM(J24:J27)</f>
        <v>0</v>
      </c>
      <c r="L28" s="338">
        <f>SUM(L24:L27)</f>
        <v>1240350</v>
      </c>
      <c r="M28" s="338">
        <f>SUM(M24:M27)</f>
        <v>0</v>
      </c>
      <c r="N28" s="328">
        <f t="shared" si="1"/>
        <v>1240350</v>
      </c>
      <c r="O28" s="354">
        <f>SUM(O26:O27)</f>
        <v>403140</v>
      </c>
      <c r="P28" s="356">
        <f>N28/(101.45*E28)</f>
        <v>0.754704926710841</v>
      </c>
    </row>
    <row r="29" spans="1:16" ht="13.5" thickBot="1">
      <c r="A29" s="135">
        <v>1.7</v>
      </c>
      <c r="B29" s="676" t="s">
        <v>90</v>
      </c>
      <c r="C29" s="677"/>
      <c r="D29" s="677"/>
      <c r="E29" s="677"/>
      <c r="F29" s="677"/>
      <c r="G29" s="677"/>
      <c r="H29" s="678"/>
      <c r="I29" s="676"/>
      <c r="J29" s="677"/>
      <c r="L29" s="330"/>
      <c r="M29" s="330"/>
      <c r="N29" s="328"/>
      <c r="O29" s="354"/>
      <c r="P29" s="421"/>
    </row>
    <row r="30" spans="1:16" ht="12.75">
      <c r="A30" s="136" t="s">
        <v>91</v>
      </c>
      <c r="B30" s="295" t="s">
        <v>92</v>
      </c>
      <c r="C30" s="137">
        <v>100</v>
      </c>
      <c r="D30" s="70">
        <v>0</v>
      </c>
      <c r="E30" s="70">
        <v>0</v>
      </c>
      <c r="F30" s="70">
        <v>0</v>
      </c>
      <c r="G30" s="70">
        <v>100</v>
      </c>
      <c r="H30" s="138">
        <f>D30+E30+F30+G30</f>
        <v>100</v>
      </c>
      <c r="I30" s="89">
        <v>100</v>
      </c>
      <c r="J30" s="89">
        <v>0</v>
      </c>
      <c r="L30" s="328"/>
      <c r="M30" s="328"/>
      <c r="N30" s="328">
        <f t="shared" si="1"/>
        <v>0</v>
      </c>
      <c r="O30" s="354">
        <f>101.45*(D30+E30)-N30</f>
        <v>0</v>
      </c>
      <c r="P30" s="356"/>
    </row>
    <row r="31" spans="1:16" ht="12.75">
      <c r="A31" s="139" t="s">
        <v>93</v>
      </c>
      <c r="B31" s="295" t="s">
        <v>94</v>
      </c>
      <c r="C31" s="140">
        <v>200</v>
      </c>
      <c r="D31" s="93">
        <v>50</v>
      </c>
      <c r="E31" s="93">
        <v>50</v>
      </c>
      <c r="F31" s="93">
        <v>50</v>
      </c>
      <c r="G31" s="93">
        <v>50</v>
      </c>
      <c r="H31" s="138">
        <f>D31+E31+F31+G31</f>
        <v>200</v>
      </c>
      <c r="I31" s="89">
        <v>200</v>
      </c>
      <c r="J31" s="89">
        <v>0</v>
      </c>
      <c r="L31" s="331"/>
      <c r="M31" s="331"/>
      <c r="N31" s="331">
        <f t="shared" si="1"/>
        <v>0</v>
      </c>
      <c r="O31" s="422">
        <f>101.45*(D31+E31)-N31</f>
        <v>10145</v>
      </c>
      <c r="P31" s="356"/>
    </row>
    <row r="32" spans="1:16" ht="13.5" thickBot="1">
      <c r="A32" s="141"/>
      <c r="B32" s="301" t="s">
        <v>75</v>
      </c>
      <c r="C32" s="142">
        <v>300</v>
      </c>
      <c r="D32" s="143">
        <f aca="true" t="shared" si="5" ref="D32:J32">SUM(D30:D31)</f>
        <v>50</v>
      </c>
      <c r="E32" s="143">
        <f t="shared" si="5"/>
        <v>50</v>
      </c>
      <c r="F32" s="143">
        <f t="shared" si="5"/>
        <v>50</v>
      </c>
      <c r="G32" s="143">
        <f t="shared" si="5"/>
        <v>150</v>
      </c>
      <c r="H32" s="144">
        <f t="shared" si="5"/>
        <v>300</v>
      </c>
      <c r="I32" s="124">
        <f t="shared" si="5"/>
        <v>300</v>
      </c>
      <c r="J32" s="89">
        <f t="shared" si="5"/>
        <v>0</v>
      </c>
      <c r="L32" s="423">
        <f>L30+L31</f>
        <v>0</v>
      </c>
      <c r="M32" s="423">
        <f>M30+M31</f>
        <v>0</v>
      </c>
      <c r="N32" s="419">
        <f t="shared" si="1"/>
        <v>0</v>
      </c>
      <c r="O32" s="424">
        <f>O30+O31</f>
        <v>10145</v>
      </c>
      <c r="P32" s="421">
        <f>N32/(101.45*D32+E32)/100</f>
        <v>0</v>
      </c>
    </row>
    <row r="33" spans="1:15" ht="15">
      <c r="A33" s="135">
        <v>1.8</v>
      </c>
      <c r="B33" s="662" t="s">
        <v>95</v>
      </c>
      <c r="C33" s="663"/>
      <c r="D33" s="663"/>
      <c r="E33" s="663"/>
      <c r="F33" s="663"/>
      <c r="G33" s="663"/>
      <c r="H33" s="664"/>
      <c r="I33" s="145"/>
      <c r="J33" s="145"/>
      <c r="L33" s="330"/>
      <c r="M33" s="330"/>
      <c r="N33" s="330"/>
      <c r="O33" s="417"/>
    </row>
    <row r="34" spans="1:16" ht="13.5" thickBot="1">
      <c r="A34" s="146" t="s">
        <v>96</v>
      </c>
      <c r="B34" s="295" t="s">
        <v>97</v>
      </c>
      <c r="C34" s="137">
        <v>2000</v>
      </c>
      <c r="D34" s="70">
        <v>500</v>
      </c>
      <c r="E34" s="70">
        <v>500</v>
      </c>
      <c r="F34" s="70">
        <v>500</v>
      </c>
      <c r="G34" s="147">
        <v>500</v>
      </c>
      <c r="H34" s="148">
        <f>D34+E34+F34+G34</f>
        <v>2000</v>
      </c>
      <c r="I34" s="89">
        <v>2000</v>
      </c>
      <c r="J34" s="89">
        <v>0</v>
      </c>
      <c r="L34" s="331">
        <f>112600</f>
        <v>112600</v>
      </c>
      <c r="M34" s="331"/>
      <c r="N34" s="328">
        <f t="shared" si="1"/>
        <v>112600</v>
      </c>
      <c r="O34" s="422">
        <f>101.45*(D34+E34)-N34</f>
        <v>-11150</v>
      </c>
      <c r="P34" s="356"/>
    </row>
    <row r="35" spans="1:16" ht="13.5" thickBot="1">
      <c r="A35" s="149"/>
      <c r="B35" s="302" t="s">
        <v>75</v>
      </c>
      <c r="C35" s="132">
        <f>SUM(C34:C34)</f>
        <v>2000</v>
      </c>
      <c r="D35" s="150">
        <f aca="true" t="shared" si="6" ref="D35:J35">SUM(D34)</f>
        <v>500</v>
      </c>
      <c r="E35" s="150">
        <f t="shared" si="6"/>
        <v>500</v>
      </c>
      <c r="F35" s="150">
        <f t="shared" si="6"/>
        <v>500</v>
      </c>
      <c r="G35" s="150">
        <f t="shared" si="6"/>
        <v>500</v>
      </c>
      <c r="H35" s="151">
        <f t="shared" si="6"/>
        <v>2000</v>
      </c>
      <c r="I35" s="124">
        <f t="shared" si="6"/>
        <v>2000</v>
      </c>
      <c r="J35" s="89">
        <f t="shared" si="6"/>
        <v>0</v>
      </c>
      <c r="L35" s="332">
        <f>L34</f>
        <v>112600</v>
      </c>
      <c r="M35" s="332">
        <f>M34</f>
        <v>0</v>
      </c>
      <c r="N35" s="419">
        <f t="shared" si="1"/>
        <v>112600</v>
      </c>
      <c r="O35" s="424">
        <f>SUM(O34)</f>
        <v>-11150</v>
      </c>
      <c r="P35" s="356">
        <f>N35/101450</f>
        <v>1.1099063578117299</v>
      </c>
    </row>
    <row r="36" spans="1:16" ht="13.5" thickBot="1">
      <c r="A36" s="152">
        <v>1.1</v>
      </c>
      <c r="B36" s="303" t="s">
        <v>98</v>
      </c>
      <c r="C36" s="154"/>
      <c r="D36" s="155"/>
      <c r="E36" s="155"/>
      <c r="F36" s="155"/>
      <c r="G36" s="155"/>
      <c r="H36" s="156"/>
      <c r="I36" s="153"/>
      <c r="J36" s="154"/>
      <c r="L36" s="330"/>
      <c r="M36" s="339"/>
      <c r="N36" s="330"/>
      <c r="O36" s="417"/>
      <c r="P36" s="356"/>
    </row>
    <row r="37" spans="1:16" ht="19.5" thickBot="1">
      <c r="A37" s="152">
        <v>1.1</v>
      </c>
      <c r="B37" s="295" t="s">
        <v>99</v>
      </c>
      <c r="C37" s="157">
        <v>44000</v>
      </c>
      <c r="D37" s="70">
        <v>5000</v>
      </c>
      <c r="E37" s="70">
        <v>10000</v>
      </c>
      <c r="F37" s="70">
        <v>10000</v>
      </c>
      <c r="G37" s="70">
        <v>19000</v>
      </c>
      <c r="H37" s="158">
        <f>SUM(D37:G37)</f>
        <v>44000</v>
      </c>
      <c r="I37" s="124">
        <v>44000</v>
      </c>
      <c r="J37" s="124">
        <v>0</v>
      </c>
      <c r="L37" s="331">
        <f>2762995</f>
        <v>2762995</v>
      </c>
      <c r="M37" s="331">
        <v>0</v>
      </c>
      <c r="N37" s="328">
        <f t="shared" si="1"/>
        <v>2762995</v>
      </c>
      <c r="O37" s="422">
        <f>101.45*(D37+E37)-N37</f>
        <v>-1241245</v>
      </c>
      <c r="P37" s="356"/>
    </row>
    <row r="38" spans="1:16" ht="13.5" thickBot="1">
      <c r="A38" s="128"/>
      <c r="B38" s="304" t="s">
        <v>75</v>
      </c>
      <c r="C38" s="160">
        <f>SUM(C37)</f>
        <v>44000</v>
      </c>
      <c r="D38" s="161">
        <f>SUM(D37)</f>
        <v>5000</v>
      </c>
      <c r="E38" s="161">
        <f>SUM(E37)</f>
        <v>10000</v>
      </c>
      <c r="F38" s="161">
        <f>SUM(F37)</f>
        <v>10000</v>
      </c>
      <c r="G38" s="161">
        <f>SUM(G37)</f>
        <v>19000</v>
      </c>
      <c r="H38" s="162">
        <f>SUM(D38:G38)</f>
        <v>44000</v>
      </c>
      <c r="I38" s="124">
        <f>SUM(I37)</f>
        <v>44000</v>
      </c>
      <c r="J38" s="89">
        <f>SUM(J37)</f>
        <v>0</v>
      </c>
      <c r="L38" s="332">
        <f>SUM(L37)</f>
        <v>2762995</v>
      </c>
      <c r="M38" s="339">
        <f>SUM(M37)</f>
        <v>0</v>
      </c>
      <c r="N38" s="419">
        <f t="shared" si="1"/>
        <v>2762995</v>
      </c>
      <c r="O38" s="424">
        <f>SUM(O37)</f>
        <v>-1241245</v>
      </c>
      <c r="P38" s="356">
        <f>N38/1521750</f>
        <v>1.8156694595038607</v>
      </c>
    </row>
    <row r="39" spans="1:16" ht="13.5" thickBot="1">
      <c r="A39" s="128"/>
      <c r="B39" s="302"/>
      <c r="C39" s="163"/>
      <c r="D39" s="150"/>
      <c r="E39" s="150"/>
      <c r="F39" s="150"/>
      <c r="G39" s="150"/>
      <c r="H39" s="164"/>
      <c r="I39" s="165"/>
      <c r="J39" s="166"/>
      <c r="L39" s="340"/>
      <c r="M39" s="340"/>
      <c r="N39" s="330"/>
      <c r="O39" s="417"/>
      <c r="P39" s="356"/>
    </row>
    <row r="40" spans="1:18" ht="13.5" thickBot="1">
      <c r="A40" s="128"/>
      <c r="B40" s="305" t="s">
        <v>100</v>
      </c>
      <c r="C40" s="167">
        <f aca="true" t="shared" si="7" ref="C40:H40">C11+C15+C18+C22+C28+C32+C35+C38</f>
        <v>263700</v>
      </c>
      <c r="D40" s="167">
        <f t="shared" si="7"/>
        <v>31750</v>
      </c>
      <c r="E40" s="357">
        <f t="shared" si="7"/>
        <v>189750</v>
      </c>
      <c r="F40" s="167">
        <f t="shared" si="7"/>
        <v>12550</v>
      </c>
      <c r="G40" s="167">
        <f t="shared" si="7"/>
        <v>29650</v>
      </c>
      <c r="H40" s="167">
        <f t="shared" si="7"/>
        <v>263700</v>
      </c>
      <c r="I40" s="165"/>
      <c r="J40" s="166"/>
      <c r="L40" s="332">
        <f>L11+L15+L18+L22+L28+L32+L35+L38</f>
        <v>8316955</v>
      </c>
      <c r="M40" s="332">
        <f>M11+M15+M18+M22+M28+M32+M36+M38</f>
        <v>0</v>
      </c>
      <c r="N40" s="419">
        <f t="shared" si="1"/>
        <v>8316955</v>
      </c>
      <c r="O40" s="424">
        <f>101.45*(D40+E40)-N40</f>
        <v>14154220</v>
      </c>
      <c r="P40" s="356">
        <f>N40/22471175</f>
        <v>0.3701166049394391</v>
      </c>
      <c r="R40" s="26" t="s">
        <v>429</v>
      </c>
    </row>
    <row r="41" spans="1:16" ht="15">
      <c r="A41" s="168">
        <v>2.1</v>
      </c>
      <c r="B41" s="669" t="s">
        <v>101</v>
      </c>
      <c r="C41" s="670"/>
      <c r="D41" s="670"/>
      <c r="E41" s="670"/>
      <c r="F41" s="670"/>
      <c r="G41" s="670"/>
      <c r="H41" s="671"/>
      <c r="I41" s="169"/>
      <c r="J41" s="169"/>
      <c r="L41" s="330"/>
      <c r="M41" s="330"/>
      <c r="N41" s="330"/>
      <c r="O41" s="417"/>
      <c r="P41" s="356"/>
    </row>
    <row r="42" spans="1:16" ht="18.75">
      <c r="A42" s="170" t="s">
        <v>102</v>
      </c>
      <c r="B42" s="295" t="s">
        <v>103</v>
      </c>
      <c r="C42" s="171">
        <v>0</v>
      </c>
      <c r="D42" s="172">
        <v>0</v>
      </c>
      <c r="E42" s="172">
        <v>0</v>
      </c>
      <c r="F42" s="172">
        <v>0</v>
      </c>
      <c r="G42" s="172">
        <v>0</v>
      </c>
      <c r="H42" s="173">
        <f>D42+E42+F42+G42</f>
        <v>0</v>
      </c>
      <c r="I42" s="89">
        <v>0</v>
      </c>
      <c r="J42" s="89">
        <v>0</v>
      </c>
      <c r="L42" s="328"/>
      <c r="M42" s="328"/>
      <c r="N42" s="328">
        <f t="shared" si="1"/>
        <v>0</v>
      </c>
      <c r="O42" s="422">
        <f>101.45*(D42+E42)-N42</f>
        <v>0</v>
      </c>
      <c r="P42" s="356"/>
    </row>
    <row r="43" spans="1:16" ht="28.5" thickBot="1">
      <c r="A43" s="174" t="s">
        <v>104</v>
      </c>
      <c r="B43" s="295" t="s">
        <v>105</v>
      </c>
      <c r="C43" s="171">
        <v>0</v>
      </c>
      <c r="D43" s="175">
        <v>0</v>
      </c>
      <c r="E43" s="175">
        <v>0</v>
      </c>
      <c r="F43" s="175">
        <v>0</v>
      </c>
      <c r="G43" s="175">
        <v>0</v>
      </c>
      <c r="H43" s="173">
        <f>D43+E43+F43+G43</f>
        <v>0</v>
      </c>
      <c r="I43" s="89">
        <v>0</v>
      </c>
      <c r="J43" s="89">
        <v>0</v>
      </c>
      <c r="L43" s="336"/>
      <c r="M43" s="336"/>
      <c r="N43" s="328">
        <f t="shared" si="1"/>
        <v>0</v>
      </c>
      <c r="O43" s="422">
        <f>101.45*(D43+E43)-N43</f>
        <v>0</v>
      </c>
      <c r="P43" s="356"/>
    </row>
    <row r="44" spans="1:16" ht="13.5" thickBot="1">
      <c r="A44" s="176"/>
      <c r="B44" s="302" t="s">
        <v>75</v>
      </c>
      <c r="C44" s="132">
        <f aca="true" t="shared" si="8" ref="C44:J44">SUM(C42:C43)</f>
        <v>0</v>
      </c>
      <c r="D44" s="177">
        <f t="shared" si="8"/>
        <v>0</v>
      </c>
      <c r="E44" s="178">
        <f t="shared" si="8"/>
        <v>0</v>
      </c>
      <c r="F44" s="178">
        <f t="shared" si="8"/>
        <v>0</v>
      </c>
      <c r="G44" s="143">
        <f t="shared" si="8"/>
        <v>0</v>
      </c>
      <c r="H44" s="144">
        <f t="shared" si="8"/>
        <v>0</v>
      </c>
      <c r="I44" s="89">
        <f t="shared" si="8"/>
        <v>0</v>
      </c>
      <c r="J44" s="89">
        <f t="shared" si="8"/>
        <v>0</v>
      </c>
      <c r="L44" s="332">
        <f>L42+L43</f>
        <v>0</v>
      </c>
      <c r="M44" s="332">
        <f>M42+M43</f>
        <v>0</v>
      </c>
      <c r="N44" s="419">
        <f t="shared" si="1"/>
        <v>0</v>
      </c>
      <c r="O44" s="424">
        <f>SUM(O42:O43)</f>
        <v>0</v>
      </c>
      <c r="P44" s="356"/>
    </row>
    <row r="45" spans="1:16" ht="15">
      <c r="A45" s="135">
        <v>2.2</v>
      </c>
      <c r="B45" s="662" t="s">
        <v>106</v>
      </c>
      <c r="C45" s="663"/>
      <c r="D45" s="663"/>
      <c r="E45" s="663"/>
      <c r="F45" s="663"/>
      <c r="G45" s="663"/>
      <c r="H45" s="664"/>
      <c r="I45" s="145"/>
      <c r="J45" s="145"/>
      <c r="L45" s="330"/>
      <c r="M45" s="330"/>
      <c r="N45" s="330"/>
      <c r="O45" s="417"/>
      <c r="P45" s="356"/>
    </row>
    <row r="46" spans="1:16" ht="28.5" thickBot="1">
      <c r="A46" s="170" t="s">
        <v>107</v>
      </c>
      <c r="B46" s="295" t="s">
        <v>108</v>
      </c>
      <c r="C46" s="171">
        <v>5000</v>
      </c>
      <c r="D46" s="172">
        <v>0</v>
      </c>
      <c r="E46" s="172">
        <v>0</v>
      </c>
      <c r="F46" s="172">
        <v>5000</v>
      </c>
      <c r="G46" s="179">
        <v>0</v>
      </c>
      <c r="H46" s="173">
        <f>D46+E46+F46+G46</f>
        <v>5000</v>
      </c>
      <c r="I46" s="124">
        <v>5000</v>
      </c>
      <c r="J46" s="124">
        <v>0</v>
      </c>
      <c r="L46" s="331">
        <f>420000</f>
        <v>420000</v>
      </c>
      <c r="M46" s="331"/>
      <c r="N46" s="331">
        <f t="shared" si="1"/>
        <v>420000</v>
      </c>
      <c r="O46" s="422">
        <f>101.45*(D46+E46)-N46</f>
        <v>-420000</v>
      </c>
      <c r="P46" s="356"/>
    </row>
    <row r="47" spans="1:16" ht="13.5" thickBot="1">
      <c r="A47" s="176"/>
      <c r="B47" s="302" t="s">
        <v>75</v>
      </c>
      <c r="C47" s="132">
        <f aca="true" t="shared" si="9" ref="C47:H47">SUM(C46:C46)</f>
        <v>5000</v>
      </c>
      <c r="D47" s="177">
        <f t="shared" si="9"/>
        <v>0</v>
      </c>
      <c r="E47" s="178">
        <f t="shared" si="9"/>
        <v>0</v>
      </c>
      <c r="F47" s="178">
        <f t="shared" si="9"/>
        <v>5000</v>
      </c>
      <c r="G47" s="143">
        <f t="shared" si="9"/>
        <v>0</v>
      </c>
      <c r="H47" s="144">
        <f t="shared" si="9"/>
        <v>5000</v>
      </c>
      <c r="I47" s="89">
        <f>SUM(I46)</f>
        <v>5000</v>
      </c>
      <c r="J47" s="89">
        <f>SUM(J46)</f>
        <v>0</v>
      </c>
      <c r="L47" s="332">
        <f>L46</f>
        <v>420000</v>
      </c>
      <c r="M47" s="425">
        <f>M46</f>
        <v>0</v>
      </c>
      <c r="N47" s="419">
        <f t="shared" si="1"/>
        <v>420000</v>
      </c>
      <c r="O47" s="424">
        <f>(D47+E47)-N47</f>
        <v>-420000</v>
      </c>
      <c r="P47" s="356"/>
    </row>
    <row r="48" spans="1:16" ht="15">
      <c r="A48" s="53"/>
      <c r="B48" s="304"/>
      <c r="C48" s="180"/>
      <c r="D48" s="181"/>
      <c r="E48" s="182"/>
      <c r="F48" s="182"/>
      <c r="G48" s="183"/>
      <c r="H48" s="184"/>
      <c r="I48" s="145"/>
      <c r="J48" s="145"/>
      <c r="L48" s="330"/>
      <c r="M48" s="330"/>
      <c r="N48" s="330"/>
      <c r="O48" s="417"/>
      <c r="P48" s="356"/>
    </row>
    <row r="49" spans="1:16" ht="15">
      <c r="A49" s="135">
        <v>2.3</v>
      </c>
      <c r="B49" s="662" t="s">
        <v>109</v>
      </c>
      <c r="C49" s="663"/>
      <c r="D49" s="663"/>
      <c r="E49" s="663"/>
      <c r="F49" s="663"/>
      <c r="G49" s="663"/>
      <c r="H49" s="664"/>
      <c r="I49" s="145"/>
      <c r="J49" s="145"/>
      <c r="L49" s="328"/>
      <c r="M49" s="328"/>
      <c r="N49" s="328"/>
      <c r="O49" s="354"/>
      <c r="P49" s="356"/>
    </row>
    <row r="50" spans="1:16" ht="18.75">
      <c r="A50" s="170" t="s">
        <v>110</v>
      </c>
      <c r="B50" s="295" t="s">
        <v>111</v>
      </c>
      <c r="C50" s="171">
        <v>16600</v>
      </c>
      <c r="D50" s="172">
        <v>0</v>
      </c>
      <c r="E50" s="185">
        <v>10000</v>
      </c>
      <c r="F50" s="185">
        <v>6600</v>
      </c>
      <c r="G50" s="179">
        <v>0</v>
      </c>
      <c r="H50" s="186">
        <v>16600</v>
      </c>
      <c r="I50" s="187">
        <v>16600</v>
      </c>
      <c r="J50" s="187">
        <v>0</v>
      </c>
      <c r="L50" s="328">
        <f>262500</f>
        <v>262500</v>
      </c>
      <c r="M50" s="328"/>
      <c r="N50" s="328">
        <f t="shared" si="1"/>
        <v>262500</v>
      </c>
      <c r="O50" s="422">
        <f>101.45*(D50+E50)-N50</f>
        <v>752000</v>
      </c>
      <c r="P50" s="356">
        <f>N50/(101.45*E50)</f>
        <v>0.25874815179891575</v>
      </c>
    </row>
    <row r="51" spans="1:16" ht="18.75">
      <c r="A51" s="174" t="s">
        <v>112</v>
      </c>
      <c r="B51" s="295" t="s">
        <v>113</v>
      </c>
      <c r="C51" s="188">
        <v>5325</v>
      </c>
      <c r="D51" s="175">
        <v>0</v>
      </c>
      <c r="E51" s="358">
        <v>5000</v>
      </c>
      <c r="F51" s="185">
        <v>325</v>
      </c>
      <c r="G51" s="189">
        <v>0</v>
      </c>
      <c r="H51" s="186">
        <v>5325</v>
      </c>
      <c r="I51" s="187">
        <v>5325</v>
      </c>
      <c r="J51" s="187">
        <v>0</v>
      </c>
      <c r="L51" s="328"/>
      <c r="M51" s="328"/>
      <c r="N51" s="328">
        <f t="shared" si="1"/>
        <v>0</v>
      </c>
      <c r="O51" s="422">
        <f>101.45*(D51+E51)-N51</f>
        <v>507250</v>
      </c>
      <c r="P51" s="356"/>
    </row>
    <row r="52" spans="1:16" ht="19.5" thickBot="1">
      <c r="A52" s="170" t="s">
        <v>114</v>
      </c>
      <c r="B52" s="295" t="s">
        <v>115</v>
      </c>
      <c r="C52" s="188">
        <v>53920</v>
      </c>
      <c r="D52" s="175">
        <v>0</v>
      </c>
      <c r="E52" s="358">
        <v>33920</v>
      </c>
      <c r="F52" s="185">
        <v>10000</v>
      </c>
      <c r="G52" s="189">
        <v>10000</v>
      </c>
      <c r="H52" s="186">
        <v>53920</v>
      </c>
      <c r="I52" s="187">
        <v>0</v>
      </c>
      <c r="J52" s="187">
        <v>53920</v>
      </c>
      <c r="L52" s="331">
        <v>0</v>
      </c>
      <c r="M52" s="331"/>
      <c r="N52" s="328">
        <f t="shared" si="1"/>
        <v>0</v>
      </c>
      <c r="O52" s="422">
        <f>101.45*(D52+E52)-N52</f>
        <v>3441184</v>
      </c>
      <c r="P52" s="356"/>
    </row>
    <row r="53" spans="1:16" ht="13.5" thickBot="1">
      <c r="A53" s="176"/>
      <c r="B53" s="302" t="s">
        <v>75</v>
      </c>
      <c r="C53" s="132">
        <f aca="true" t="shared" si="10" ref="C53:H53">SUM(C50:C52)</f>
        <v>75845</v>
      </c>
      <c r="D53" s="177">
        <f t="shared" si="10"/>
        <v>0</v>
      </c>
      <c r="E53" s="143">
        <f t="shared" si="10"/>
        <v>48920</v>
      </c>
      <c r="F53" s="143">
        <f>SUM(F50:F52)</f>
        <v>16925</v>
      </c>
      <c r="G53" s="143">
        <f t="shared" si="10"/>
        <v>10000</v>
      </c>
      <c r="H53" s="144">
        <f t="shared" si="10"/>
        <v>75845</v>
      </c>
      <c r="I53" s="190">
        <f>SUM(I50:I52)</f>
        <v>21925</v>
      </c>
      <c r="J53" s="190">
        <f>SUM(J50:J52)</f>
        <v>53920</v>
      </c>
      <c r="L53" s="332">
        <f>L50+L51+L52</f>
        <v>262500</v>
      </c>
      <c r="M53" s="332">
        <f>M50+M51+M52</f>
        <v>0</v>
      </c>
      <c r="N53" s="419">
        <f t="shared" si="1"/>
        <v>262500</v>
      </c>
      <c r="O53" s="424">
        <f>SUM(O50:O52)</f>
        <v>4700434</v>
      </c>
      <c r="P53" s="356">
        <f>N53/(101.45*E53)</f>
        <v>0.05289209971359684</v>
      </c>
    </row>
    <row r="54" spans="1:16" ht="15.75" thickBot="1">
      <c r="A54" s="135">
        <v>2.4</v>
      </c>
      <c r="B54" s="558" t="s">
        <v>116</v>
      </c>
      <c r="C54" s="559"/>
      <c r="D54" s="559"/>
      <c r="E54" s="559"/>
      <c r="F54" s="559"/>
      <c r="G54" s="559"/>
      <c r="H54" s="560"/>
      <c r="I54" s="145"/>
      <c r="J54" s="145"/>
      <c r="L54" s="330"/>
      <c r="M54" s="330"/>
      <c r="N54" s="330"/>
      <c r="O54" s="417"/>
      <c r="P54" s="356"/>
    </row>
    <row r="55" spans="1:16" ht="19.5" thickBot="1">
      <c r="A55" s="170" t="s">
        <v>117</v>
      </c>
      <c r="B55" s="295" t="s">
        <v>118</v>
      </c>
      <c r="C55" s="171">
        <v>13800</v>
      </c>
      <c r="D55" s="172">
        <v>0</v>
      </c>
      <c r="E55" s="172">
        <v>14000</v>
      </c>
      <c r="F55" s="191">
        <v>10600</v>
      </c>
      <c r="G55" s="192">
        <v>10000</v>
      </c>
      <c r="H55" s="186">
        <f>D55+E55+F55+G55</f>
        <v>34600</v>
      </c>
      <c r="I55" s="187">
        <v>13800</v>
      </c>
      <c r="J55" s="187">
        <v>0</v>
      </c>
      <c r="L55" s="328"/>
      <c r="M55" s="328"/>
      <c r="N55" s="328">
        <f t="shared" si="1"/>
        <v>0</v>
      </c>
      <c r="O55" s="422">
        <f>101.45*(D55+E55)-N55</f>
        <v>1420300</v>
      </c>
      <c r="P55" s="356"/>
    </row>
    <row r="56" spans="1:16" ht="19.5" thickBot="1">
      <c r="A56" s="174" t="s">
        <v>119</v>
      </c>
      <c r="B56" s="295" t="s">
        <v>120</v>
      </c>
      <c r="C56" s="193">
        <v>0</v>
      </c>
      <c r="D56" s="194">
        <v>0</v>
      </c>
      <c r="E56" s="172">
        <v>4000</v>
      </c>
      <c r="F56" s="192">
        <v>1000</v>
      </c>
      <c r="G56" s="192">
        <v>380</v>
      </c>
      <c r="H56" s="195">
        <f>D56+E56+F56+G56</f>
        <v>5380</v>
      </c>
      <c r="I56" s="187">
        <v>0</v>
      </c>
      <c r="J56" s="187">
        <v>0</v>
      </c>
      <c r="L56" s="328"/>
      <c r="M56" s="328"/>
      <c r="N56" s="328">
        <f t="shared" si="1"/>
        <v>0</v>
      </c>
      <c r="O56" s="422">
        <f>101.45*(D56+E56)-N56</f>
        <v>405800</v>
      </c>
      <c r="P56" s="356"/>
    </row>
    <row r="57" spans="1:16" ht="13.5" thickBot="1">
      <c r="A57" s="170" t="s">
        <v>121</v>
      </c>
      <c r="B57" s="295" t="s">
        <v>122</v>
      </c>
      <c r="C57" s="196">
        <v>80100</v>
      </c>
      <c r="D57" s="197">
        <v>0</v>
      </c>
      <c r="E57" s="172">
        <v>35000</v>
      </c>
      <c r="F57" s="192">
        <v>10000</v>
      </c>
      <c r="G57" s="192">
        <v>8920</v>
      </c>
      <c r="H57" s="195">
        <f>D57+E57+F57+G57</f>
        <v>53920</v>
      </c>
      <c r="I57" s="187">
        <v>0</v>
      </c>
      <c r="J57" s="187">
        <v>80100</v>
      </c>
      <c r="L57" s="331"/>
      <c r="M57" s="331"/>
      <c r="N57" s="331">
        <f t="shared" si="1"/>
        <v>0</v>
      </c>
      <c r="O57" s="422">
        <f>101.45*(D57+E57)-N57</f>
        <v>3550750</v>
      </c>
      <c r="P57" s="356"/>
    </row>
    <row r="58" spans="1:16" ht="13.5" thickBot="1">
      <c r="A58" s="176"/>
      <c r="B58" s="302" t="s">
        <v>75</v>
      </c>
      <c r="C58" s="132">
        <f aca="true" t="shared" si="11" ref="C58:H58">SUM(C55:C57)</f>
        <v>93900</v>
      </c>
      <c r="D58" s="177">
        <f t="shared" si="11"/>
        <v>0</v>
      </c>
      <c r="E58" s="143">
        <f t="shared" si="11"/>
        <v>53000</v>
      </c>
      <c r="F58" s="143">
        <f t="shared" si="11"/>
        <v>21600</v>
      </c>
      <c r="G58" s="198">
        <f t="shared" si="11"/>
        <v>19300</v>
      </c>
      <c r="H58" s="144">
        <f t="shared" si="11"/>
        <v>93900</v>
      </c>
      <c r="I58" s="190">
        <f>SUM(I55:I57)</f>
        <v>13800</v>
      </c>
      <c r="J58" s="190">
        <f>SUM(J55:J57)</f>
        <v>80100</v>
      </c>
      <c r="L58" s="332">
        <f>L55+L56+L57</f>
        <v>0</v>
      </c>
      <c r="M58" s="425">
        <f>M55+M56+M57</f>
        <v>0</v>
      </c>
      <c r="N58" s="419">
        <f t="shared" si="1"/>
        <v>0</v>
      </c>
      <c r="O58" s="424">
        <f>SUM(O55:O57)</f>
        <v>5376850</v>
      </c>
      <c r="P58" s="356">
        <f>N58/(101.45*E58)</f>
        <v>0</v>
      </c>
    </row>
    <row r="59" spans="1:16" ht="19.5">
      <c r="A59" s="135">
        <v>2.5</v>
      </c>
      <c r="B59" s="558" t="s">
        <v>123</v>
      </c>
      <c r="C59" s="559"/>
      <c r="D59" s="559"/>
      <c r="E59" s="559"/>
      <c r="F59" s="559"/>
      <c r="G59" s="559"/>
      <c r="H59" s="560"/>
      <c r="I59" s="199"/>
      <c r="J59" s="145"/>
      <c r="L59" s="330"/>
      <c r="M59" s="330"/>
      <c r="N59" s="330"/>
      <c r="O59" s="417"/>
      <c r="P59" s="356"/>
    </row>
    <row r="60" spans="1:16" ht="27.75">
      <c r="A60" s="170" t="s">
        <v>124</v>
      </c>
      <c r="B60" s="295" t="s">
        <v>125</v>
      </c>
      <c r="C60" s="171">
        <v>21000</v>
      </c>
      <c r="D60" s="172">
        <v>0</v>
      </c>
      <c r="E60" s="179">
        <v>0</v>
      </c>
      <c r="F60" s="179">
        <v>21000</v>
      </c>
      <c r="G60" s="179">
        <v>0</v>
      </c>
      <c r="H60" s="200">
        <f aca="true" t="shared" si="12" ref="H60:H67">D60+E60+F60+G60</f>
        <v>21000</v>
      </c>
      <c r="I60" s="200">
        <v>21000</v>
      </c>
      <c r="J60" s="201">
        <v>0</v>
      </c>
      <c r="L60" s="328"/>
      <c r="M60" s="328"/>
      <c r="N60" s="328">
        <f t="shared" si="1"/>
        <v>0</v>
      </c>
      <c r="O60" s="422">
        <f aca="true" t="shared" si="13" ref="O60:O67">101.45*(D60+E60)-N60</f>
        <v>0</v>
      </c>
      <c r="P60" s="356"/>
    </row>
    <row r="61" spans="1:16" ht="12.75">
      <c r="A61" s="174" t="s">
        <v>126</v>
      </c>
      <c r="B61" s="295" t="s">
        <v>127</v>
      </c>
      <c r="C61" s="193">
        <v>1000</v>
      </c>
      <c r="D61" s="194">
        <v>0</v>
      </c>
      <c r="E61" s="202">
        <v>0</v>
      </c>
      <c r="F61" s="202">
        <v>1000</v>
      </c>
      <c r="G61" s="202">
        <v>0</v>
      </c>
      <c r="H61" s="203">
        <f t="shared" si="12"/>
        <v>1000</v>
      </c>
      <c r="I61" s="200">
        <v>1000</v>
      </c>
      <c r="J61" s="201">
        <v>0</v>
      </c>
      <c r="L61" s="328"/>
      <c r="M61" s="328"/>
      <c r="N61" s="328">
        <f t="shared" si="1"/>
        <v>0</v>
      </c>
      <c r="O61" s="422">
        <f t="shared" si="13"/>
        <v>0</v>
      </c>
      <c r="P61" s="356"/>
    </row>
    <row r="62" spans="1:16" ht="18.75">
      <c r="A62" s="174" t="s">
        <v>128</v>
      </c>
      <c r="B62" s="295" t="s">
        <v>129</v>
      </c>
      <c r="C62" s="193">
        <v>2000</v>
      </c>
      <c r="D62" s="194">
        <v>0</v>
      </c>
      <c r="E62" s="202">
        <v>0</v>
      </c>
      <c r="F62" s="202">
        <v>2000</v>
      </c>
      <c r="G62" s="202">
        <v>0</v>
      </c>
      <c r="H62" s="203">
        <f t="shared" si="12"/>
        <v>2000</v>
      </c>
      <c r="I62" s="200">
        <v>2000</v>
      </c>
      <c r="J62" s="201">
        <v>0</v>
      </c>
      <c r="L62" s="328"/>
      <c r="M62" s="328"/>
      <c r="N62" s="328">
        <f t="shared" si="1"/>
        <v>0</v>
      </c>
      <c r="O62" s="422">
        <f t="shared" si="13"/>
        <v>0</v>
      </c>
      <c r="P62" s="356"/>
    </row>
    <row r="63" spans="1:16" ht="27.75">
      <c r="A63" s="174" t="s">
        <v>130</v>
      </c>
      <c r="B63" s="295" t="s">
        <v>131</v>
      </c>
      <c r="C63" s="193">
        <v>3400</v>
      </c>
      <c r="D63" s="194">
        <v>0</v>
      </c>
      <c r="E63" s="202">
        <v>0</v>
      </c>
      <c r="F63" s="202">
        <v>3400</v>
      </c>
      <c r="G63" s="202">
        <v>0</v>
      </c>
      <c r="H63" s="203">
        <f t="shared" si="12"/>
        <v>3400</v>
      </c>
      <c r="I63" s="200">
        <v>3400</v>
      </c>
      <c r="J63" s="201">
        <v>0</v>
      </c>
      <c r="L63" s="329"/>
      <c r="M63" s="329"/>
      <c r="N63" s="328">
        <f t="shared" si="1"/>
        <v>0</v>
      </c>
      <c r="O63" s="422">
        <f t="shared" si="13"/>
        <v>0</v>
      </c>
      <c r="P63" s="356"/>
    </row>
    <row r="64" spans="1:16" ht="12.75">
      <c r="A64" s="174" t="s">
        <v>132</v>
      </c>
      <c r="B64" s="295" t="s">
        <v>133</v>
      </c>
      <c r="C64" s="193">
        <v>7000</v>
      </c>
      <c r="D64" s="194">
        <v>0</v>
      </c>
      <c r="E64" s="202">
        <v>0</v>
      </c>
      <c r="F64" s="202">
        <v>7000</v>
      </c>
      <c r="G64" s="202">
        <v>0</v>
      </c>
      <c r="H64" s="203">
        <f t="shared" si="12"/>
        <v>7000</v>
      </c>
      <c r="I64" s="200">
        <v>7000</v>
      </c>
      <c r="J64" s="201">
        <v>0</v>
      </c>
      <c r="L64" s="328"/>
      <c r="M64" s="328"/>
      <c r="N64" s="328">
        <f t="shared" si="1"/>
        <v>0</v>
      </c>
      <c r="O64" s="422">
        <f t="shared" si="13"/>
        <v>0</v>
      </c>
      <c r="P64" s="356"/>
    </row>
    <row r="65" spans="1:16" ht="27.75">
      <c r="A65" s="174" t="s">
        <v>134</v>
      </c>
      <c r="B65" s="295" t="s">
        <v>135</v>
      </c>
      <c r="C65" s="193">
        <v>14600</v>
      </c>
      <c r="D65" s="194">
        <v>0</v>
      </c>
      <c r="E65" s="202">
        <v>0</v>
      </c>
      <c r="F65" s="202">
        <v>14600</v>
      </c>
      <c r="G65" s="202">
        <v>0</v>
      </c>
      <c r="H65" s="203">
        <f t="shared" si="12"/>
        <v>14600</v>
      </c>
      <c r="I65" s="200">
        <v>14600</v>
      </c>
      <c r="J65" s="201">
        <v>0</v>
      </c>
      <c r="L65" s="328">
        <v>800390</v>
      </c>
      <c r="M65" s="328"/>
      <c r="N65" s="328">
        <f t="shared" si="1"/>
        <v>800390</v>
      </c>
      <c r="O65" s="422">
        <f t="shared" si="13"/>
        <v>-800390</v>
      </c>
      <c r="P65" s="356"/>
    </row>
    <row r="66" spans="1:16" ht="12.75">
      <c r="A66" s="174" t="s">
        <v>136</v>
      </c>
      <c r="B66" s="295" t="s">
        <v>137</v>
      </c>
      <c r="C66" s="193">
        <v>1000</v>
      </c>
      <c r="D66" s="194">
        <v>0</v>
      </c>
      <c r="E66" s="202">
        <v>0</v>
      </c>
      <c r="F66" s="202">
        <v>1000</v>
      </c>
      <c r="G66" s="202">
        <v>0</v>
      </c>
      <c r="H66" s="203">
        <f t="shared" si="12"/>
        <v>1000</v>
      </c>
      <c r="I66" s="200">
        <v>1000</v>
      </c>
      <c r="J66" s="201">
        <v>0</v>
      </c>
      <c r="L66" s="328"/>
      <c r="M66" s="328"/>
      <c r="N66" s="328">
        <f t="shared" si="1"/>
        <v>0</v>
      </c>
      <c r="O66" s="422">
        <f t="shared" si="13"/>
        <v>0</v>
      </c>
      <c r="P66" s="356"/>
    </row>
    <row r="67" spans="1:16" ht="13.5" thickBot="1">
      <c r="A67" s="174" t="s">
        <v>138</v>
      </c>
      <c r="B67" s="295" t="s">
        <v>139</v>
      </c>
      <c r="C67" s="196">
        <v>0</v>
      </c>
      <c r="D67" s="197">
        <v>0</v>
      </c>
      <c r="E67" s="204">
        <v>0</v>
      </c>
      <c r="F67" s="204">
        <v>0</v>
      </c>
      <c r="G67" s="204">
        <v>0</v>
      </c>
      <c r="H67" s="203">
        <f t="shared" si="12"/>
        <v>0</v>
      </c>
      <c r="I67" s="200">
        <v>0</v>
      </c>
      <c r="J67" s="201">
        <v>0</v>
      </c>
      <c r="L67" s="331"/>
      <c r="M67" s="331"/>
      <c r="N67" s="328">
        <f t="shared" si="1"/>
        <v>0</v>
      </c>
      <c r="O67" s="422">
        <f t="shared" si="13"/>
        <v>0</v>
      </c>
      <c r="P67" s="356"/>
    </row>
    <row r="68" spans="1:16" ht="13.5" thickBot="1">
      <c r="A68" s="176"/>
      <c r="B68" s="302" t="s">
        <v>75</v>
      </c>
      <c r="C68" s="132">
        <f aca="true" t="shared" si="14" ref="C68:H68">SUM(C60:C67)</f>
        <v>50000</v>
      </c>
      <c r="D68" s="177">
        <f t="shared" si="14"/>
        <v>0</v>
      </c>
      <c r="E68" s="143">
        <f t="shared" si="14"/>
        <v>0</v>
      </c>
      <c r="F68" s="143">
        <f t="shared" si="14"/>
        <v>50000</v>
      </c>
      <c r="G68" s="143">
        <f t="shared" si="14"/>
        <v>0</v>
      </c>
      <c r="H68" s="205">
        <f t="shared" si="14"/>
        <v>50000</v>
      </c>
      <c r="I68" s="205">
        <f>SUM(I60:I67)</f>
        <v>50000</v>
      </c>
      <c r="J68" s="206">
        <f>SUM(J60:J67)</f>
        <v>0</v>
      </c>
      <c r="L68" s="332">
        <f>L65+L66+L67</f>
        <v>800390</v>
      </c>
      <c r="M68" s="332">
        <f>M65+M66+M67</f>
        <v>0</v>
      </c>
      <c r="N68" s="419">
        <f t="shared" si="1"/>
        <v>800390</v>
      </c>
      <c r="O68" s="424">
        <f>SUM(O60:O67)</f>
        <v>-800390</v>
      </c>
      <c r="P68" s="356"/>
    </row>
    <row r="69" spans="1:16" ht="15">
      <c r="A69" s="135">
        <v>2.6</v>
      </c>
      <c r="B69" s="662" t="s">
        <v>140</v>
      </c>
      <c r="C69" s="663"/>
      <c r="D69" s="663"/>
      <c r="E69" s="663"/>
      <c r="F69" s="663"/>
      <c r="G69" s="663"/>
      <c r="H69" s="664"/>
      <c r="I69" s="145"/>
      <c r="J69" s="145"/>
      <c r="L69" s="330"/>
      <c r="M69" s="330"/>
      <c r="N69" s="330"/>
      <c r="O69" s="417"/>
      <c r="P69" s="356"/>
    </row>
    <row r="70" spans="1:16" ht="12.75">
      <c r="A70" s="170" t="s">
        <v>141</v>
      </c>
      <c r="B70" s="295" t="s">
        <v>142</v>
      </c>
      <c r="C70" s="171">
        <v>500</v>
      </c>
      <c r="D70" s="179">
        <v>0</v>
      </c>
      <c r="E70" s="179">
        <v>500</v>
      </c>
      <c r="F70" s="179">
        <v>0</v>
      </c>
      <c r="G70" s="179">
        <v>0</v>
      </c>
      <c r="H70" s="200">
        <v>500</v>
      </c>
      <c r="I70" s="203">
        <v>500</v>
      </c>
      <c r="J70" s="206">
        <v>0</v>
      </c>
      <c r="L70" s="328"/>
      <c r="M70" s="328"/>
      <c r="N70" s="328">
        <f t="shared" si="1"/>
        <v>0</v>
      </c>
      <c r="O70" s="422">
        <f>101.45*(D70+E70)-N70</f>
        <v>50725</v>
      </c>
      <c r="P70" s="356"/>
    </row>
    <row r="71" spans="1:16" ht="12.75">
      <c r="A71" s="174" t="s">
        <v>143</v>
      </c>
      <c r="B71" s="295" t="s">
        <v>144</v>
      </c>
      <c r="C71" s="193">
        <v>3000</v>
      </c>
      <c r="D71" s="202">
        <v>0</v>
      </c>
      <c r="E71" s="202">
        <v>3000</v>
      </c>
      <c r="F71" s="179">
        <v>0</v>
      </c>
      <c r="G71" s="202">
        <v>0</v>
      </c>
      <c r="H71" s="203">
        <v>3000</v>
      </c>
      <c r="I71" s="203">
        <v>3000</v>
      </c>
      <c r="J71" s="206">
        <v>0</v>
      </c>
      <c r="L71" s="328"/>
      <c r="M71" s="328"/>
      <c r="N71" s="328">
        <f t="shared" si="1"/>
        <v>0</v>
      </c>
      <c r="O71" s="422">
        <f>101.45*(D71+E71)-N71</f>
        <v>304350</v>
      </c>
      <c r="P71" s="356"/>
    </row>
    <row r="72" spans="1:16" ht="18.75">
      <c r="A72" s="174" t="s">
        <v>145</v>
      </c>
      <c r="B72" s="295" t="s">
        <v>146</v>
      </c>
      <c r="C72" s="193">
        <v>7000</v>
      </c>
      <c r="D72" s="202">
        <v>0</v>
      </c>
      <c r="E72" s="202">
        <v>7000</v>
      </c>
      <c r="F72" s="179">
        <v>0</v>
      </c>
      <c r="G72" s="202">
        <v>0</v>
      </c>
      <c r="H72" s="203">
        <v>7000</v>
      </c>
      <c r="I72" s="203">
        <v>7000</v>
      </c>
      <c r="J72" s="206">
        <v>0</v>
      </c>
      <c r="L72" s="328"/>
      <c r="M72" s="328"/>
      <c r="N72" s="328">
        <f t="shared" si="1"/>
        <v>0</v>
      </c>
      <c r="O72" s="422">
        <f>101.45*(D72+E72)-N72</f>
        <v>710150</v>
      </c>
      <c r="P72" s="356"/>
    </row>
    <row r="73" spans="1:16" ht="13.5" thickBot="1">
      <c r="A73" s="174" t="s">
        <v>147</v>
      </c>
      <c r="B73" s="295" t="s">
        <v>148</v>
      </c>
      <c r="C73" s="193">
        <v>3500</v>
      </c>
      <c r="D73" s="202"/>
      <c r="E73" s="202">
        <v>3500</v>
      </c>
      <c r="F73" s="179">
        <v>0</v>
      </c>
      <c r="G73" s="202"/>
      <c r="H73" s="207">
        <v>3500</v>
      </c>
      <c r="I73" s="203">
        <v>0</v>
      </c>
      <c r="J73" s="203">
        <v>3500</v>
      </c>
      <c r="L73" s="331"/>
      <c r="M73" s="331"/>
      <c r="N73" s="328">
        <f t="shared" si="1"/>
        <v>0</v>
      </c>
      <c r="O73" s="422">
        <f>101.45*(D73+E73)-N73</f>
        <v>355075</v>
      </c>
      <c r="P73" s="356"/>
    </row>
    <row r="74" spans="1:16" ht="13.5" thickBot="1">
      <c r="A74" s="176"/>
      <c r="B74" s="302" t="s">
        <v>75</v>
      </c>
      <c r="C74" s="132">
        <f aca="true" t="shared" si="15" ref="C74:J74">SUM(C70:C73)</f>
        <v>14000</v>
      </c>
      <c r="D74" s="208">
        <f t="shared" si="15"/>
        <v>0</v>
      </c>
      <c r="E74" s="143">
        <f t="shared" si="15"/>
        <v>14000</v>
      </c>
      <c r="F74" s="143">
        <f t="shared" si="15"/>
        <v>0</v>
      </c>
      <c r="G74" s="143">
        <f t="shared" si="15"/>
        <v>0</v>
      </c>
      <c r="H74" s="144">
        <f t="shared" si="15"/>
        <v>14000</v>
      </c>
      <c r="I74" s="209">
        <f t="shared" si="15"/>
        <v>10500</v>
      </c>
      <c r="J74" s="209">
        <f t="shared" si="15"/>
        <v>3500</v>
      </c>
      <c r="L74" s="332">
        <f>L70+L71+L72+L73</f>
        <v>0</v>
      </c>
      <c r="M74" s="332">
        <f>M70+M71+M72+M73</f>
        <v>0</v>
      </c>
      <c r="N74" s="328">
        <f t="shared" si="1"/>
        <v>0</v>
      </c>
      <c r="O74" s="354">
        <f>SUM(O70:O73)</f>
        <v>1420300</v>
      </c>
      <c r="P74" s="356"/>
    </row>
    <row r="75" spans="1:16" ht="15">
      <c r="A75" s="135">
        <v>2.7</v>
      </c>
      <c r="B75" s="662" t="s">
        <v>149</v>
      </c>
      <c r="C75" s="663"/>
      <c r="D75" s="663"/>
      <c r="E75" s="663"/>
      <c r="F75" s="663"/>
      <c r="G75" s="663"/>
      <c r="H75" s="664"/>
      <c r="I75" s="145"/>
      <c r="J75" s="145"/>
      <c r="L75" s="330"/>
      <c r="M75" s="330"/>
      <c r="N75" s="328"/>
      <c r="O75" s="354"/>
      <c r="P75" s="356"/>
    </row>
    <row r="76" spans="1:16" ht="12.75">
      <c r="A76" s="170" t="s">
        <v>150</v>
      </c>
      <c r="B76" s="295" t="s">
        <v>151</v>
      </c>
      <c r="C76" s="171">
        <v>0</v>
      </c>
      <c r="D76" s="179">
        <v>0</v>
      </c>
      <c r="E76" s="179">
        <v>0</v>
      </c>
      <c r="F76" s="179">
        <v>0</v>
      </c>
      <c r="G76" s="179">
        <v>0</v>
      </c>
      <c r="H76" s="200">
        <f>D76+E76+F76+G76</f>
        <v>0</v>
      </c>
      <c r="I76" s="203">
        <v>0</v>
      </c>
      <c r="J76" s="206">
        <v>0</v>
      </c>
      <c r="L76" s="329"/>
      <c r="M76" s="329"/>
      <c r="N76" s="328">
        <f aca="true" t="shared" si="16" ref="N76:N139">L76+M76</f>
        <v>0</v>
      </c>
      <c r="O76" s="422">
        <f>101.45*(D76+E76)-N76</f>
        <v>0</v>
      </c>
      <c r="P76" s="356"/>
    </row>
    <row r="77" spans="1:16" ht="28.5" thickBot="1">
      <c r="A77" s="174" t="s">
        <v>152</v>
      </c>
      <c r="B77" s="295" t="s">
        <v>153</v>
      </c>
      <c r="C77" s="193">
        <v>6500</v>
      </c>
      <c r="D77" s="202">
        <v>0</v>
      </c>
      <c r="E77" s="202">
        <v>3000</v>
      </c>
      <c r="F77" s="202">
        <v>3500</v>
      </c>
      <c r="G77" s="202">
        <v>6500</v>
      </c>
      <c r="H77" s="195">
        <v>6500</v>
      </c>
      <c r="I77" s="210">
        <v>6500</v>
      </c>
      <c r="J77" s="206">
        <v>0</v>
      </c>
      <c r="L77" s="331"/>
      <c r="M77" s="331"/>
      <c r="N77" s="328">
        <f t="shared" si="16"/>
        <v>0</v>
      </c>
      <c r="O77" s="422">
        <f>101.45*(D77+E77)-N77</f>
        <v>304350</v>
      </c>
      <c r="P77" s="356"/>
    </row>
    <row r="78" spans="1:16" ht="13.5" thickBot="1">
      <c r="A78" s="176"/>
      <c r="B78" s="302" t="s">
        <v>75</v>
      </c>
      <c r="C78" s="132">
        <f>SUM(C76:C77)</f>
        <v>6500</v>
      </c>
      <c r="D78" s="202">
        <v>0</v>
      </c>
      <c r="E78" s="143">
        <f>SUM(E76:E77)</f>
        <v>3000</v>
      </c>
      <c r="F78" s="143">
        <f>SUM(F76:F77)</f>
        <v>3500</v>
      </c>
      <c r="G78" s="143">
        <v>6500</v>
      </c>
      <c r="H78" s="144">
        <f>SUM(H76:H77)</f>
        <v>6500</v>
      </c>
      <c r="I78" s="211">
        <f>SUM(I76:I77)</f>
        <v>6500</v>
      </c>
      <c r="J78" s="206">
        <v>0</v>
      </c>
      <c r="L78" s="332">
        <f>L76+L77</f>
        <v>0</v>
      </c>
      <c r="M78" s="332">
        <f>M76+M77</f>
        <v>0</v>
      </c>
      <c r="N78" s="419">
        <f t="shared" si="16"/>
        <v>0</v>
      </c>
      <c r="O78" s="424">
        <f>SUM(O76:O77)</f>
        <v>304350</v>
      </c>
      <c r="P78" s="356"/>
    </row>
    <row r="79" spans="1:16" ht="15">
      <c r="A79" s="53"/>
      <c r="B79" s="302"/>
      <c r="C79" s="180"/>
      <c r="D79" s="202"/>
      <c r="E79" s="183"/>
      <c r="F79" s="183"/>
      <c r="G79" s="183"/>
      <c r="H79" s="212"/>
      <c r="I79" s="145"/>
      <c r="J79" s="145"/>
      <c r="L79" s="330"/>
      <c r="M79" s="330"/>
      <c r="N79" s="330"/>
      <c r="O79" s="417"/>
      <c r="P79" s="356"/>
    </row>
    <row r="80" spans="1:16" ht="12.75">
      <c r="A80" s="53">
        <v>2.9</v>
      </c>
      <c r="B80" s="662" t="s">
        <v>154</v>
      </c>
      <c r="C80" s="663">
        <v>0</v>
      </c>
      <c r="D80" s="663">
        <v>0</v>
      </c>
      <c r="E80" s="663">
        <v>0</v>
      </c>
      <c r="F80" s="663">
        <v>0</v>
      </c>
      <c r="G80" s="663">
        <v>0</v>
      </c>
      <c r="H80" s="664">
        <f>D80+E80+F80+G80</f>
        <v>0</v>
      </c>
      <c r="I80" s="662"/>
      <c r="J80" s="663">
        <v>0</v>
      </c>
      <c r="L80" s="328"/>
      <c r="M80" s="328"/>
      <c r="N80" s="328"/>
      <c r="O80" s="354"/>
      <c r="P80" s="356"/>
    </row>
    <row r="81" spans="1:16" ht="12.75">
      <c r="A81" s="128" t="s">
        <v>155</v>
      </c>
      <c r="B81" s="306" t="s">
        <v>156</v>
      </c>
      <c r="C81" s="196">
        <v>1500</v>
      </c>
      <c r="D81" s="213"/>
      <c r="E81" s="204">
        <v>500</v>
      </c>
      <c r="F81" s="204">
        <v>500</v>
      </c>
      <c r="G81" s="204">
        <v>500</v>
      </c>
      <c r="H81" s="210">
        <v>1500</v>
      </c>
      <c r="I81" s="210">
        <v>1500</v>
      </c>
      <c r="J81" s="206">
        <v>0</v>
      </c>
      <c r="L81" s="328"/>
      <c r="M81" s="328"/>
      <c r="N81" s="328">
        <f t="shared" si="16"/>
        <v>0</v>
      </c>
      <c r="O81" s="422">
        <f>101.45*(D81+E81)-N81</f>
        <v>50725</v>
      </c>
      <c r="P81" s="356"/>
    </row>
    <row r="82" spans="1:16" ht="28.5" thickBot="1">
      <c r="A82" s="128" t="s">
        <v>157</v>
      </c>
      <c r="B82" s="306" t="s">
        <v>153</v>
      </c>
      <c r="C82" s="196">
        <v>13500</v>
      </c>
      <c r="D82" s="213"/>
      <c r="E82" s="204">
        <v>4500</v>
      </c>
      <c r="F82" s="204">
        <v>4500</v>
      </c>
      <c r="G82" s="204">
        <v>4500</v>
      </c>
      <c r="H82" s="210">
        <v>13500</v>
      </c>
      <c r="I82" s="210">
        <v>13500</v>
      </c>
      <c r="J82" s="206">
        <v>0</v>
      </c>
      <c r="L82" s="336"/>
      <c r="M82" s="336"/>
      <c r="N82" s="328">
        <f t="shared" si="16"/>
        <v>0</v>
      </c>
      <c r="O82" s="422">
        <f>101.45*(D82+E82)-N82</f>
        <v>456525</v>
      </c>
      <c r="P82" s="356"/>
    </row>
    <row r="83" spans="1:16" ht="13.5" thickBot="1">
      <c r="A83" s="128"/>
      <c r="B83" s="307" t="s">
        <v>75</v>
      </c>
      <c r="C83" s="132">
        <f>SUM(C81+C82)</f>
        <v>15000</v>
      </c>
      <c r="D83" s="213">
        <v>0</v>
      </c>
      <c r="E83" s="213">
        <v>5000</v>
      </c>
      <c r="F83" s="204">
        <v>5000</v>
      </c>
      <c r="G83" s="213">
        <v>5000</v>
      </c>
      <c r="H83" s="209">
        <v>15000</v>
      </c>
      <c r="I83" s="211">
        <v>15000</v>
      </c>
      <c r="J83" s="206">
        <v>0</v>
      </c>
      <c r="L83" s="332">
        <f>L81+L82</f>
        <v>0</v>
      </c>
      <c r="M83" s="332">
        <f>M81+M82</f>
        <v>0</v>
      </c>
      <c r="N83" s="419">
        <f t="shared" si="16"/>
        <v>0</v>
      </c>
      <c r="O83" s="424">
        <f>SUM(O81:O82)</f>
        <v>507250</v>
      </c>
      <c r="P83" s="356"/>
    </row>
    <row r="84" spans="1:16" ht="15">
      <c r="A84" s="128"/>
      <c r="B84" s="306"/>
      <c r="C84" s="180"/>
      <c r="D84" s="214"/>
      <c r="E84" s="214"/>
      <c r="F84" s="215"/>
      <c r="G84" s="214"/>
      <c r="H84" s="184"/>
      <c r="I84" s="145"/>
      <c r="J84" s="145"/>
      <c r="M84" s="330"/>
      <c r="N84" s="330"/>
      <c r="O84" s="417"/>
      <c r="P84" s="356"/>
    </row>
    <row r="85" spans="1:16" ht="15">
      <c r="A85" s="152">
        <v>2.11</v>
      </c>
      <c r="B85" s="662" t="s">
        <v>158</v>
      </c>
      <c r="C85" s="663"/>
      <c r="D85" s="663"/>
      <c r="E85" s="663"/>
      <c r="F85" s="663"/>
      <c r="G85" s="663"/>
      <c r="H85" s="664"/>
      <c r="I85" s="145"/>
      <c r="J85" s="145"/>
      <c r="L85" s="328"/>
      <c r="M85" s="328"/>
      <c r="N85" s="328"/>
      <c r="O85" s="354"/>
      <c r="P85" s="356"/>
    </row>
    <row r="86" spans="1:16" ht="18.75">
      <c r="A86" s="170" t="s">
        <v>159</v>
      </c>
      <c r="B86" s="295" t="s">
        <v>160</v>
      </c>
      <c r="C86" s="171">
        <v>2300</v>
      </c>
      <c r="D86" s="179">
        <v>0</v>
      </c>
      <c r="E86" s="179">
        <v>2300</v>
      </c>
      <c r="F86" s="179">
        <v>0</v>
      </c>
      <c r="G86" s="179">
        <v>0</v>
      </c>
      <c r="H86" s="186">
        <f>D86+E86+F86+G86</f>
        <v>2300</v>
      </c>
      <c r="I86" s="187">
        <v>2300</v>
      </c>
      <c r="J86" s="187">
        <v>0</v>
      </c>
      <c r="L86" s="329">
        <f>240000</f>
        <v>240000</v>
      </c>
      <c r="M86" s="329"/>
      <c r="N86" s="328">
        <f t="shared" si="16"/>
        <v>240000</v>
      </c>
      <c r="O86" s="422">
        <f>101.45*(D86+E86)-N86</f>
        <v>-6665</v>
      </c>
      <c r="P86" s="356"/>
    </row>
    <row r="87" spans="1:16" ht="18.75">
      <c r="A87" s="174" t="s">
        <v>161</v>
      </c>
      <c r="B87" s="295" t="s">
        <v>162</v>
      </c>
      <c r="C87" s="193">
        <v>6000</v>
      </c>
      <c r="D87" s="202">
        <v>0</v>
      </c>
      <c r="E87" s="202">
        <v>6000</v>
      </c>
      <c r="F87" s="202">
        <v>0</v>
      </c>
      <c r="G87" s="202">
        <v>0</v>
      </c>
      <c r="H87" s="195">
        <f>D87+E87+F87+G87</f>
        <v>6000</v>
      </c>
      <c r="I87" s="187">
        <v>6000</v>
      </c>
      <c r="J87" s="187">
        <v>0</v>
      </c>
      <c r="L87" s="328">
        <f>78900</f>
        <v>78900</v>
      </c>
      <c r="M87" s="328"/>
      <c r="N87" s="328">
        <f t="shared" si="16"/>
        <v>78900</v>
      </c>
      <c r="O87" s="422">
        <f>101.45*(D87+E87)-N87</f>
        <v>529800</v>
      </c>
      <c r="P87" s="356"/>
    </row>
    <row r="88" spans="1:16" ht="18.75">
      <c r="A88" s="174" t="s">
        <v>163</v>
      </c>
      <c r="B88" s="295" t="s">
        <v>420</v>
      </c>
      <c r="C88" s="193">
        <v>5030</v>
      </c>
      <c r="D88" s="202"/>
      <c r="E88" s="202">
        <v>5030</v>
      </c>
      <c r="F88" s="202">
        <v>0</v>
      </c>
      <c r="G88" s="202"/>
      <c r="H88" s="216">
        <v>5030</v>
      </c>
      <c r="I88" s="187">
        <v>0</v>
      </c>
      <c r="J88" s="187">
        <v>5030</v>
      </c>
      <c r="L88" s="329">
        <f>(822000-121632)</f>
        <v>700368</v>
      </c>
      <c r="M88" s="329"/>
      <c r="N88" s="328">
        <f t="shared" si="16"/>
        <v>700368</v>
      </c>
      <c r="O88" s="422">
        <f>101.45*(D88+E88)-N88</f>
        <v>-190074.5</v>
      </c>
      <c r="P88" s="356"/>
    </row>
    <row r="89" spans="1:16" ht="13.5" thickBot="1">
      <c r="A89" s="174" t="s">
        <v>164</v>
      </c>
      <c r="B89" s="295" t="s">
        <v>165</v>
      </c>
      <c r="C89" s="193">
        <v>100</v>
      </c>
      <c r="D89" s="202"/>
      <c r="E89" s="202">
        <v>100</v>
      </c>
      <c r="F89" s="202"/>
      <c r="G89" s="202"/>
      <c r="H89" s="216">
        <v>100</v>
      </c>
      <c r="I89" s="187">
        <v>100</v>
      </c>
      <c r="J89" s="187"/>
      <c r="L89" s="331"/>
      <c r="M89" s="341"/>
      <c r="N89" s="328">
        <f t="shared" si="16"/>
        <v>0</v>
      </c>
      <c r="O89" s="422">
        <f>101.45*(D89+E89)-N89</f>
        <v>10145</v>
      </c>
      <c r="P89" s="356"/>
    </row>
    <row r="90" spans="1:16" ht="13.5" thickBot="1">
      <c r="A90" s="176"/>
      <c r="B90" s="302" t="s">
        <v>75</v>
      </c>
      <c r="C90" s="132">
        <f>SUM(C86:C89)</f>
        <v>13430</v>
      </c>
      <c r="D90" s="217">
        <f>SUM(D86:D88)</f>
        <v>0</v>
      </c>
      <c r="E90" s="217">
        <v>13430</v>
      </c>
      <c r="F90" s="217">
        <f>SUM(F86:F88)</f>
        <v>0</v>
      </c>
      <c r="G90" s="217">
        <f>SUM(G86:G88)</f>
        <v>0</v>
      </c>
      <c r="H90" s="218">
        <f>SUM(H86:H89)</f>
        <v>13430</v>
      </c>
      <c r="I90" s="187">
        <f>SUM(I86:I89)</f>
        <v>8400</v>
      </c>
      <c r="J90" s="219">
        <f>SUM(J86:J88)</f>
        <v>5030</v>
      </c>
      <c r="L90" s="338">
        <f>L86+L87+L88+L89+S87</f>
        <v>1019268</v>
      </c>
      <c r="M90" s="338">
        <f>M86+M87+M88+M89+T87</f>
        <v>0</v>
      </c>
      <c r="N90" s="328">
        <f t="shared" si="16"/>
        <v>1019268</v>
      </c>
      <c r="O90" s="354">
        <f>SUM(O86:O89)</f>
        <v>343205.5</v>
      </c>
      <c r="P90" s="356">
        <f>N90/(E90*101.45)</f>
        <v>0.7481011557289005</v>
      </c>
    </row>
    <row r="91" spans="1:16" ht="13.5" thickBot="1">
      <c r="A91" s="53"/>
      <c r="B91" s="302"/>
      <c r="C91" s="132"/>
      <c r="D91" s="217"/>
      <c r="E91" s="217"/>
      <c r="F91" s="217"/>
      <c r="G91" s="217"/>
      <c r="H91" s="220"/>
      <c r="I91" s="221"/>
      <c r="J91" s="222"/>
      <c r="L91" s="340"/>
      <c r="M91" s="340"/>
      <c r="N91" s="328"/>
      <c r="O91" s="354"/>
      <c r="P91" s="356"/>
    </row>
    <row r="92" spans="1:16" ht="15.75" thickBot="1">
      <c r="A92" s="128"/>
      <c r="B92" s="308" t="s">
        <v>166</v>
      </c>
      <c r="C92" s="223">
        <f aca="true" t="shared" si="17" ref="C92:H92">C44+C47+C53+C58+C68+C74+C78+C83+C90</f>
        <v>273675</v>
      </c>
      <c r="D92" s="223">
        <f t="shared" si="17"/>
        <v>0</v>
      </c>
      <c r="E92" s="359">
        <f t="shared" si="17"/>
        <v>137350</v>
      </c>
      <c r="F92" s="223">
        <f t="shared" si="17"/>
        <v>102025</v>
      </c>
      <c r="G92" s="223">
        <f t="shared" si="17"/>
        <v>40800</v>
      </c>
      <c r="H92" s="223">
        <f t="shared" si="17"/>
        <v>273675</v>
      </c>
      <c r="I92" s="145"/>
      <c r="J92" s="145"/>
      <c r="L92" s="332">
        <f>L44+L47+L53+L58+L68+L74+L78+L83+L90</f>
        <v>2502158</v>
      </c>
      <c r="M92" s="332">
        <f>M44+M47+M53+M58+M68+M74+M78+M83+M90</f>
        <v>0</v>
      </c>
      <c r="N92" s="332">
        <f>N44+N47+N53+N58+N68+N74+N78+N83+N90</f>
        <v>2502158</v>
      </c>
      <c r="O92" s="332">
        <f>O44+O47+O53+O58+O68+O74+O78+O83+O90</f>
        <v>11431999.5</v>
      </c>
      <c r="P92" s="356">
        <f>N92/(E92*101.45)</f>
        <v>0.17957009600329263</v>
      </c>
    </row>
    <row r="93" spans="1:16" ht="15">
      <c r="A93" s="135">
        <v>3.1</v>
      </c>
      <c r="B93" s="662" t="s">
        <v>167</v>
      </c>
      <c r="C93" s="663"/>
      <c r="D93" s="663"/>
      <c r="E93" s="663"/>
      <c r="F93" s="663"/>
      <c r="G93" s="663"/>
      <c r="H93" s="664"/>
      <c r="I93" s="145"/>
      <c r="J93" s="145"/>
      <c r="L93" s="330"/>
      <c r="M93" s="330"/>
      <c r="N93" s="328"/>
      <c r="O93" s="354"/>
      <c r="P93" s="356"/>
    </row>
    <row r="94" spans="1:16" ht="18.75">
      <c r="A94" s="170" t="s">
        <v>168</v>
      </c>
      <c r="B94" s="295" t="s">
        <v>169</v>
      </c>
      <c r="C94" s="171">
        <v>1000</v>
      </c>
      <c r="D94" s="179">
        <v>0</v>
      </c>
      <c r="E94" s="179">
        <v>1000</v>
      </c>
      <c r="F94" s="179">
        <v>0</v>
      </c>
      <c r="G94" s="179">
        <v>0</v>
      </c>
      <c r="H94" s="186">
        <f>D94+E94+F94+G94</f>
        <v>1000</v>
      </c>
      <c r="I94" s="187">
        <v>1000</v>
      </c>
      <c r="J94" s="187">
        <v>0</v>
      </c>
      <c r="L94" s="328">
        <f>87700</f>
        <v>87700</v>
      </c>
      <c r="M94" s="328"/>
      <c r="N94" s="328">
        <f t="shared" si="16"/>
        <v>87700</v>
      </c>
      <c r="O94" s="422">
        <f>101.45*(D94+E94)-N94</f>
        <v>13750</v>
      </c>
      <c r="P94" s="356"/>
    </row>
    <row r="95" spans="1:16" ht="13.5" thickBot="1">
      <c r="A95" s="174" t="s">
        <v>170</v>
      </c>
      <c r="B95" s="295" t="s">
        <v>171</v>
      </c>
      <c r="C95" s="193">
        <v>0</v>
      </c>
      <c r="D95" s="202">
        <v>0</v>
      </c>
      <c r="E95" s="202">
        <v>0</v>
      </c>
      <c r="F95" s="202">
        <v>0</v>
      </c>
      <c r="G95" s="202">
        <v>0</v>
      </c>
      <c r="H95" s="195">
        <f>D95+E95+F95+G95</f>
        <v>0</v>
      </c>
      <c r="I95" s="187">
        <v>0</v>
      </c>
      <c r="J95" s="187">
        <v>0</v>
      </c>
      <c r="L95" s="331"/>
      <c r="M95" s="331"/>
      <c r="N95" s="328">
        <f t="shared" si="16"/>
        <v>0</v>
      </c>
      <c r="O95" s="422">
        <f>101.45*(D95+E95)-N95</f>
        <v>0</v>
      </c>
      <c r="P95" s="356"/>
    </row>
    <row r="96" spans="1:16" ht="13.5" thickBot="1">
      <c r="A96" s="176"/>
      <c r="B96" s="302" t="s">
        <v>75</v>
      </c>
      <c r="C96" s="132">
        <f aca="true" t="shared" si="18" ref="C96:H96">SUM(C94:C95)</f>
        <v>1000</v>
      </c>
      <c r="D96" s="208">
        <f t="shared" si="18"/>
        <v>0</v>
      </c>
      <c r="E96" s="143">
        <f t="shared" si="18"/>
        <v>1000</v>
      </c>
      <c r="F96" s="143">
        <f t="shared" si="18"/>
        <v>0</v>
      </c>
      <c r="G96" s="143">
        <f t="shared" si="18"/>
        <v>0</v>
      </c>
      <c r="H96" s="144">
        <f t="shared" si="18"/>
        <v>1000</v>
      </c>
      <c r="I96" s="190">
        <f>SUM(I94:I95)</f>
        <v>1000</v>
      </c>
      <c r="J96" s="190">
        <f>SUM(J94:J95)</f>
        <v>0</v>
      </c>
      <c r="L96" s="338">
        <f>L94+L95</f>
        <v>87700</v>
      </c>
      <c r="M96" s="338">
        <f>M94+M95</f>
        <v>0</v>
      </c>
      <c r="N96" s="328">
        <f t="shared" si="16"/>
        <v>87700</v>
      </c>
      <c r="O96" s="354">
        <f>SUM(O94:O95)</f>
        <v>13750</v>
      </c>
      <c r="P96" s="356">
        <f>N96/(E96*101.45)</f>
        <v>0.8644652538196156</v>
      </c>
    </row>
    <row r="97" spans="1:16" ht="12.75">
      <c r="A97" s="53"/>
      <c r="B97" s="309"/>
      <c r="C97" s="224"/>
      <c r="D97" s="225"/>
      <c r="E97" s="226"/>
      <c r="F97" s="226"/>
      <c r="G97" s="226"/>
      <c r="H97" s="227"/>
      <c r="I97" s="228"/>
      <c r="J97" s="228"/>
      <c r="L97" s="330"/>
      <c r="M97" s="330"/>
      <c r="N97" s="328"/>
      <c r="O97" s="354"/>
      <c r="P97" s="356"/>
    </row>
    <row r="98" spans="1:16" ht="12.75">
      <c r="A98" s="53">
        <v>3.5</v>
      </c>
      <c r="B98" s="309" t="s">
        <v>172</v>
      </c>
      <c r="C98" s="224"/>
      <c r="D98" s="225"/>
      <c r="E98" s="226"/>
      <c r="F98" s="226"/>
      <c r="G98" s="226"/>
      <c r="H98" s="227"/>
      <c r="I98" s="228"/>
      <c r="J98" s="228"/>
      <c r="L98" s="328"/>
      <c r="M98" s="328"/>
      <c r="N98" s="328"/>
      <c r="O98" s="354"/>
      <c r="P98" s="356"/>
    </row>
    <row r="99" spans="1:16" ht="37.5" thickBot="1">
      <c r="A99" s="128" t="s">
        <v>173</v>
      </c>
      <c r="B99" s="310" t="s">
        <v>174</v>
      </c>
      <c r="C99" s="179">
        <v>10000</v>
      </c>
      <c r="D99" s="179"/>
      <c r="E99" s="179">
        <v>3000</v>
      </c>
      <c r="F99" s="179">
        <v>3500</v>
      </c>
      <c r="G99" s="179">
        <v>3500</v>
      </c>
      <c r="H99" s="179">
        <v>10000</v>
      </c>
      <c r="I99" s="179">
        <v>10000</v>
      </c>
      <c r="J99" s="179">
        <v>0</v>
      </c>
      <c r="L99" s="331">
        <v>0</v>
      </c>
      <c r="M99" s="331">
        <v>0</v>
      </c>
      <c r="N99" s="328">
        <f t="shared" si="16"/>
        <v>0</v>
      </c>
      <c r="O99" s="422">
        <f>101.45*(D99+E99)-N99</f>
        <v>304350</v>
      </c>
      <c r="P99" s="356"/>
    </row>
    <row r="100" spans="1:16" ht="13.5" thickBot="1">
      <c r="A100" s="53"/>
      <c r="B100" s="309" t="s">
        <v>75</v>
      </c>
      <c r="C100" s="224">
        <f aca="true" t="shared" si="19" ref="C100:H100">SUM(C99)</f>
        <v>10000</v>
      </c>
      <c r="D100" s="229">
        <f t="shared" si="19"/>
        <v>0</v>
      </c>
      <c r="E100" s="229">
        <f t="shared" si="19"/>
        <v>3000</v>
      </c>
      <c r="F100" s="229">
        <f t="shared" si="19"/>
        <v>3500</v>
      </c>
      <c r="G100" s="229">
        <f t="shared" si="19"/>
        <v>3500</v>
      </c>
      <c r="H100" s="227">
        <f t="shared" si="19"/>
        <v>10000</v>
      </c>
      <c r="I100" s="228">
        <v>10000</v>
      </c>
      <c r="J100" s="228">
        <v>0</v>
      </c>
      <c r="L100" s="332">
        <f>L99</f>
        <v>0</v>
      </c>
      <c r="M100" s="332">
        <f>M99</f>
        <v>0</v>
      </c>
      <c r="N100" s="328">
        <f t="shared" si="16"/>
        <v>0</v>
      </c>
      <c r="O100" s="354">
        <f>SUM(O99)</f>
        <v>304350</v>
      </c>
      <c r="P100" s="356">
        <f>N100/(E100*101.45)</f>
        <v>0</v>
      </c>
    </row>
    <row r="101" spans="1:16" ht="12.75">
      <c r="A101" s="53"/>
      <c r="B101" s="309"/>
      <c r="C101" s="224"/>
      <c r="D101" s="225"/>
      <c r="E101" s="226"/>
      <c r="F101" s="226"/>
      <c r="G101" s="226"/>
      <c r="H101" s="227"/>
      <c r="I101" s="228"/>
      <c r="J101" s="228"/>
      <c r="L101" s="330"/>
      <c r="M101" s="330"/>
      <c r="N101" s="328"/>
      <c r="O101" s="354"/>
      <c r="P101" s="356"/>
    </row>
    <row r="102" spans="1:16" ht="18.75">
      <c r="A102" s="53" t="s">
        <v>175</v>
      </c>
      <c r="B102" s="309" t="s">
        <v>176</v>
      </c>
      <c r="C102" s="224"/>
      <c r="D102" s="225"/>
      <c r="E102" s="226"/>
      <c r="F102" s="226"/>
      <c r="G102" s="226"/>
      <c r="H102" s="227"/>
      <c r="I102" s="228"/>
      <c r="J102" s="228"/>
      <c r="L102" s="328"/>
      <c r="M102" s="328"/>
      <c r="N102" s="328"/>
      <c r="O102" s="354"/>
      <c r="P102" s="356"/>
    </row>
    <row r="103" spans="1:16" ht="18.75">
      <c r="A103" s="128" t="s">
        <v>177</v>
      </c>
      <c r="B103" s="310" t="s">
        <v>178</v>
      </c>
      <c r="C103" s="224">
        <v>2000</v>
      </c>
      <c r="D103" s="225">
        <v>0</v>
      </c>
      <c r="E103" s="226">
        <v>1000</v>
      </c>
      <c r="F103" s="226">
        <v>1000</v>
      </c>
      <c r="G103" s="226">
        <v>0</v>
      </c>
      <c r="H103" s="227">
        <v>2000</v>
      </c>
      <c r="I103" s="228">
        <v>2000</v>
      </c>
      <c r="J103" s="228">
        <v>0</v>
      </c>
      <c r="L103" s="328"/>
      <c r="M103" s="328"/>
      <c r="N103" s="328">
        <f t="shared" si="16"/>
        <v>0</v>
      </c>
      <c r="O103" s="422">
        <f>101.45*(D103+E103)-N103</f>
        <v>101450</v>
      </c>
      <c r="P103" s="356"/>
    </row>
    <row r="104" spans="1:16" ht="12.75">
      <c r="A104" s="128" t="s">
        <v>179</v>
      </c>
      <c r="B104" s="310" t="s">
        <v>180</v>
      </c>
      <c r="C104" s="224">
        <v>2000</v>
      </c>
      <c r="D104" s="225">
        <v>0</v>
      </c>
      <c r="E104" s="226">
        <v>0</v>
      </c>
      <c r="F104" s="226">
        <v>0</v>
      </c>
      <c r="G104" s="226">
        <v>2000</v>
      </c>
      <c r="H104" s="227">
        <v>2000</v>
      </c>
      <c r="I104" s="228">
        <v>2000</v>
      </c>
      <c r="J104" s="228">
        <v>0</v>
      </c>
      <c r="L104" s="328"/>
      <c r="M104" s="328"/>
      <c r="N104" s="328">
        <f t="shared" si="16"/>
        <v>0</v>
      </c>
      <c r="O104" s="422">
        <f>101.45*(D104+E104)-N104</f>
        <v>0</v>
      </c>
      <c r="P104" s="356"/>
    </row>
    <row r="105" spans="1:16" ht="12.75">
      <c r="A105" s="53"/>
      <c r="B105" s="309" t="s">
        <v>75</v>
      </c>
      <c r="C105" s="224">
        <f>SUM(C103:C104)</f>
        <v>4000</v>
      </c>
      <c r="D105" s="229">
        <v>0</v>
      </c>
      <c r="E105" s="229">
        <f>SUM(E103:E104)</f>
        <v>1000</v>
      </c>
      <c r="F105" s="229">
        <f>SUM(F103:F104)</f>
        <v>1000</v>
      </c>
      <c r="G105" s="229">
        <f>SUM(G103:G104)</f>
        <v>2000</v>
      </c>
      <c r="H105" s="224">
        <f>SUM(H103:H104)</f>
        <v>4000</v>
      </c>
      <c r="I105" s="228">
        <v>4000</v>
      </c>
      <c r="J105" s="228">
        <v>0</v>
      </c>
      <c r="L105" s="342">
        <f>L103+L104</f>
        <v>0</v>
      </c>
      <c r="M105" s="342">
        <f>M103+M104</f>
        <v>0</v>
      </c>
      <c r="N105" s="328">
        <f t="shared" si="16"/>
        <v>0</v>
      </c>
      <c r="O105" s="354">
        <f>SUM(O103:O104)</f>
        <v>101450</v>
      </c>
      <c r="P105" s="356">
        <f>N105/(E105*101.45)</f>
        <v>0</v>
      </c>
    </row>
    <row r="106" spans="1:16" ht="12.75">
      <c r="A106" s="53"/>
      <c r="B106" s="309"/>
      <c r="C106" s="224"/>
      <c r="D106" s="225"/>
      <c r="E106" s="226"/>
      <c r="F106" s="226"/>
      <c r="G106" s="226"/>
      <c r="H106" s="227"/>
      <c r="I106" s="228"/>
      <c r="J106" s="228"/>
      <c r="L106" s="328"/>
      <c r="M106" s="328"/>
      <c r="N106" s="328"/>
      <c r="O106" s="354"/>
      <c r="P106" s="356"/>
    </row>
    <row r="107" spans="1:16" ht="15">
      <c r="A107" s="53">
        <v>3.7</v>
      </c>
      <c r="B107" s="662" t="s">
        <v>181</v>
      </c>
      <c r="C107" s="663"/>
      <c r="D107" s="667"/>
      <c r="E107" s="667"/>
      <c r="F107" s="667"/>
      <c r="G107" s="667"/>
      <c r="H107" s="668"/>
      <c r="I107" s="145"/>
      <c r="J107" s="145"/>
      <c r="L107" s="328"/>
      <c r="M107" s="328"/>
      <c r="N107" s="328"/>
      <c r="O107" s="354"/>
      <c r="P107" s="356"/>
    </row>
    <row r="108" spans="1:16" ht="18.75">
      <c r="A108" s="128" t="s">
        <v>182</v>
      </c>
      <c r="B108" s="295" t="s">
        <v>183</v>
      </c>
      <c r="C108" s="230">
        <v>1000</v>
      </c>
      <c r="D108" s="231">
        <v>0</v>
      </c>
      <c r="E108" s="231">
        <v>0</v>
      </c>
      <c r="F108" s="231">
        <v>1000</v>
      </c>
      <c r="G108" s="204">
        <v>0</v>
      </c>
      <c r="H108" s="210">
        <f>SUM(D108:G108)</f>
        <v>1000</v>
      </c>
      <c r="I108" s="187">
        <v>1000</v>
      </c>
      <c r="J108" s="187">
        <v>0</v>
      </c>
      <c r="L108" s="328"/>
      <c r="M108" s="328"/>
      <c r="N108" s="328">
        <f>L108+M108</f>
        <v>0</v>
      </c>
      <c r="O108" s="422">
        <f>101.45*(D108+E108)-N108</f>
        <v>0</v>
      </c>
      <c r="P108" s="356"/>
    </row>
    <row r="109" spans="1:16" ht="27.75">
      <c r="A109" s="128" t="s">
        <v>184</v>
      </c>
      <c r="B109" s="295" t="s">
        <v>185</v>
      </c>
      <c r="C109" s="230">
        <v>11000</v>
      </c>
      <c r="D109" s="231">
        <v>0</v>
      </c>
      <c r="E109" s="231">
        <v>0</v>
      </c>
      <c r="F109" s="231">
        <v>11000</v>
      </c>
      <c r="G109" s="204">
        <v>0</v>
      </c>
      <c r="H109" s="210">
        <f>SUM(D109:G109)</f>
        <v>11000</v>
      </c>
      <c r="I109" s="187">
        <v>11000</v>
      </c>
      <c r="J109" s="187">
        <v>0</v>
      </c>
      <c r="L109" s="328"/>
      <c r="M109" s="328"/>
      <c r="N109" s="328">
        <f>L109+M109</f>
        <v>0</v>
      </c>
      <c r="O109" s="422">
        <f>101.45*(D109+E109)-N109</f>
        <v>0</v>
      </c>
      <c r="P109" s="356"/>
    </row>
    <row r="110" spans="1:16" ht="13.5" thickBot="1">
      <c r="A110" s="128" t="s">
        <v>186</v>
      </c>
      <c r="B110" s="295" t="s">
        <v>187</v>
      </c>
      <c r="C110" s="157">
        <v>100</v>
      </c>
      <c r="D110" s="232"/>
      <c r="E110" s="232"/>
      <c r="F110" s="232">
        <v>100</v>
      </c>
      <c r="G110" s="233"/>
      <c r="H110" s="234">
        <v>100</v>
      </c>
      <c r="I110" s="187">
        <v>100</v>
      </c>
      <c r="J110" s="187"/>
      <c r="L110" s="331"/>
      <c r="M110" s="331"/>
      <c r="N110" s="328">
        <f t="shared" si="16"/>
        <v>0</v>
      </c>
      <c r="O110" s="422">
        <f>101.45*(D110+E110)-N110</f>
        <v>0</v>
      </c>
      <c r="P110" s="356"/>
    </row>
    <row r="111" spans="1:16" ht="13.5" thickBot="1">
      <c r="A111" s="53"/>
      <c r="B111" s="304" t="s">
        <v>75</v>
      </c>
      <c r="C111" s="132">
        <f aca="true" t="shared" si="20" ref="C111:I111">SUM(C108:C110)</f>
        <v>12100</v>
      </c>
      <c r="D111" s="217">
        <f t="shared" si="20"/>
        <v>0</v>
      </c>
      <c r="E111" s="217">
        <f t="shared" si="20"/>
        <v>0</v>
      </c>
      <c r="F111" s="217">
        <f t="shared" si="20"/>
        <v>12100</v>
      </c>
      <c r="G111" s="217">
        <f t="shared" si="20"/>
        <v>0</v>
      </c>
      <c r="H111" s="132">
        <f t="shared" si="20"/>
        <v>12100</v>
      </c>
      <c r="I111" s="180">
        <f t="shared" si="20"/>
        <v>12100</v>
      </c>
      <c r="J111" s="228">
        <v>0</v>
      </c>
      <c r="L111" s="332">
        <f>L108+L109+L110</f>
        <v>0</v>
      </c>
      <c r="M111" s="332">
        <f>M108+M109+M110</f>
        <v>0</v>
      </c>
      <c r="N111" s="328">
        <f t="shared" si="16"/>
        <v>0</v>
      </c>
      <c r="O111" s="354">
        <f>SUM(O108:O110)</f>
        <v>0</v>
      </c>
      <c r="P111" s="356"/>
    </row>
    <row r="112" spans="1:16" ht="13.5" thickBot="1">
      <c r="A112" s="53"/>
      <c r="B112" s="304"/>
      <c r="C112" s="132"/>
      <c r="D112" s="217"/>
      <c r="E112" s="217"/>
      <c r="F112" s="217"/>
      <c r="G112" s="217"/>
      <c r="H112" s="132"/>
      <c r="I112" s="180"/>
      <c r="J112" s="228"/>
      <c r="L112" s="340"/>
      <c r="M112" s="340"/>
      <c r="N112" s="328"/>
      <c r="O112" s="354">
        <f>(D112+E112)-N112</f>
        <v>0</v>
      </c>
      <c r="P112" s="356"/>
    </row>
    <row r="113" spans="1:16" ht="13.5" thickBot="1">
      <c r="A113" s="53"/>
      <c r="B113" s="311" t="s">
        <v>188</v>
      </c>
      <c r="C113" s="235">
        <f aca="true" t="shared" si="21" ref="C113:H113">C96+C100+C105+C111</f>
        <v>27100</v>
      </c>
      <c r="D113" s="235">
        <f t="shared" si="21"/>
        <v>0</v>
      </c>
      <c r="E113" s="217">
        <f t="shared" si="21"/>
        <v>5000</v>
      </c>
      <c r="F113" s="235">
        <f t="shared" si="21"/>
        <v>16600</v>
      </c>
      <c r="G113" s="235">
        <f t="shared" si="21"/>
        <v>5500</v>
      </c>
      <c r="H113" s="235">
        <f t="shared" si="21"/>
        <v>27100</v>
      </c>
      <c r="I113" s="228"/>
      <c r="J113" s="236"/>
      <c r="L113" s="332">
        <f>L96+L100+L105+L111</f>
        <v>87700</v>
      </c>
      <c r="M113" s="332">
        <f>M96+M100+M105+M111</f>
        <v>0</v>
      </c>
      <c r="N113" s="332">
        <f>N96+N100+N105+N111</f>
        <v>87700</v>
      </c>
      <c r="O113" s="332">
        <f>O96+O100+O105+O111</f>
        <v>419550</v>
      </c>
      <c r="P113" s="356">
        <f>N113/(E113*101.45)</f>
        <v>0.1728930507639231</v>
      </c>
    </row>
    <row r="114" spans="1:16" ht="15">
      <c r="A114" s="135">
        <v>4.1</v>
      </c>
      <c r="B114" s="662" t="s">
        <v>189</v>
      </c>
      <c r="C114" s="663"/>
      <c r="D114" s="665"/>
      <c r="E114" s="665"/>
      <c r="F114" s="665"/>
      <c r="G114" s="665"/>
      <c r="H114" s="666"/>
      <c r="I114" s="145"/>
      <c r="J114" s="145"/>
      <c r="L114" s="330"/>
      <c r="M114" s="330"/>
      <c r="N114" s="328"/>
      <c r="O114" s="354"/>
      <c r="P114" s="356"/>
    </row>
    <row r="115" spans="1:16" ht="12.75">
      <c r="A115" s="170" t="s">
        <v>190</v>
      </c>
      <c r="B115" s="295" t="s">
        <v>191</v>
      </c>
      <c r="C115" s="171">
        <v>40000</v>
      </c>
      <c r="D115" s="185">
        <v>0</v>
      </c>
      <c r="E115" s="185">
        <v>40000</v>
      </c>
      <c r="F115" s="185">
        <v>0</v>
      </c>
      <c r="G115" s="185">
        <v>0</v>
      </c>
      <c r="H115" s="237">
        <f aca="true" t="shared" si="22" ref="H115:H141">D115+E115+F115+G115</f>
        <v>40000</v>
      </c>
      <c r="I115" s="187">
        <v>40000</v>
      </c>
      <c r="J115" s="187">
        <v>0</v>
      </c>
      <c r="L115" s="328"/>
      <c r="M115" s="328"/>
      <c r="N115" s="328">
        <f t="shared" si="16"/>
        <v>0</v>
      </c>
      <c r="O115" s="422">
        <f aca="true" t="shared" si="23" ref="O115:O141">101.45*(D115+E115)-N115</f>
        <v>4058000</v>
      </c>
      <c r="P115" s="356"/>
    </row>
    <row r="116" spans="1:16" ht="12.75">
      <c r="A116" s="174" t="s">
        <v>192</v>
      </c>
      <c r="B116" s="312" t="s">
        <v>193</v>
      </c>
      <c r="C116" s="171">
        <v>25000</v>
      </c>
      <c r="D116" s="185">
        <v>0</v>
      </c>
      <c r="E116" s="185">
        <v>25000</v>
      </c>
      <c r="F116" s="185">
        <v>0</v>
      </c>
      <c r="G116" s="185">
        <v>0</v>
      </c>
      <c r="H116" s="237">
        <f t="shared" si="22"/>
        <v>25000</v>
      </c>
      <c r="I116" s="187">
        <v>25000</v>
      </c>
      <c r="J116" s="187">
        <v>0</v>
      </c>
      <c r="L116" s="328"/>
      <c r="M116" s="328"/>
      <c r="N116" s="328">
        <f t="shared" si="16"/>
        <v>0</v>
      </c>
      <c r="O116" s="422">
        <f t="shared" si="23"/>
        <v>2536250</v>
      </c>
      <c r="P116" s="356"/>
    </row>
    <row r="117" spans="1:16" ht="12.75">
      <c r="A117" s="170" t="s">
        <v>194</v>
      </c>
      <c r="B117" s="312" t="s">
        <v>195</v>
      </c>
      <c r="C117" s="171">
        <v>25000</v>
      </c>
      <c r="D117" s="185">
        <v>0</v>
      </c>
      <c r="E117" s="185">
        <v>25000</v>
      </c>
      <c r="F117" s="185">
        <v>0</v>
      </c>
      <c r="G117" s="185">
        <v>0</v>
      </c>
      <c r="H117" s="237">
        <f t="shared" si="22"/>
        <v>25000</v>
      </c>
      <c r="I117" s="187">
        <v>25000</v>
      </c>
      <c r="J117" s="187">
        <v>0</v>
      </c>
      <c r="L117" s="328"/>
      <c r="M117" s="328"/>
      <c r="N117" s="328">
        <f t="shared" si="16"/>
        <v>0</v>
      </c>
      <c r="O117" s="422">
        <f t="shared" si="23"/>
        <v>2536250</v>
      </c>
      <c r="P117" s="356"/>
    </row>
    <row r="118" spans="1:16" ht="12.75">
      <c r="A118" s="174" t="s">
        <v>196</v>
      </c>
      <c r="B118" s="312" t="s">
        <v>197</v>
      </c>
      <c r="C118" s="171">
        <v>20000</v>
      </c>
      <c r="D118" s="185">
        <v>0</v>
      </c>
      <c r="E118" s="185">
        <v>20000</v>
      </c>
      <c r="F118" s="185">
        <v>0</v>
      </c>
      <c r="G118" s="185">
        <v>0</v>
      </c>
      <c r="H118" s="237">
        <f t="shared" si="22"/>
        <v>20000</v>
      </c>
      <c r="I118" s="187">
        <v>20000</v>
      </c>
      <c r="J118" s="187">
        <v>0</v>
      </c>
      <c r="L118" s="328"/>
      <c r="M118" s="328"/>
      <c r="N118" s="328">
        <f t="shared" si="16"/>
        <v>0</v>
      </c>
      <c r="O118" s="422">
        <f t="shared" si="23"/>
        <v>2029000</v>
      </c>
      <c r="P118" s="356"/>
    </row>
    <row r="119" spans="1:16" ht="12.75">
      <c r="A119" s="170" t="s">
        <v>198</v>
      </c>
      <c r="B119" s="312" t="s">
        <v>199</v>
      </c>
      <c r="C119" s="171">
        <v>1500</v>
      </c>
      <c r="D119" s="185">
        <v>0</v>
      </c>
      <c r="E119" s="185">
        <v>1500</v>
      </c>
      <c r="F119" s="185">
        <v>0</v>
      </c>
      <c r="G119" s="185">
        <v>0</v>
      </c>
      <c r="H119" s="237">
        <f t="shared" si="22"/>
        <v>1500</v>
      </c>
      <c r="I119" s="187">
        <v>1500</v>
      </c>
      <c r="J119" s="187">
        <v>0</v>
      </c>
      <c r="L119" s="328"/>
      <c r="M119" s="328"/>
      <c r="N119" s="328">
        <f t="shared" si="16"/>
        <v>0</v>
      </c>
      <c r="O119" s="422">
        <f t="shared" si="23"/>
        <v>152175</v>
      </c>
      <c r="P119" s="356"/>
    </row>
    <row r="120" spans="1:16" ht="18.75">
      <c r="A120" s="174" t="s">
        <v>200</v>
      </c>
      <c r="B120" s="312" t="s">
        <v>201</v>
      </c>
      <c r="C120" s="171">
        <v>1005</v>
      </c>
      <c r="D120" s="185">
        <v>0</v>
      </c>
      <c r="E120" s="185">
        <v>1005</v>
      </c>
      <c r="F120" s="185">
        <v>0</v>
      </c>
      <c r="G120" s="185">
        <v>0</v>
      </c>
      <c r="H120" s="237">
        <f t="shared" si="22"/>
        <v>1005</v>
      </c>
      <c r="I120" s="187">
        <v>1005</v>
      </c>
      <c r="J120" s="187">
        <v>0</v>
      </c>
      <c r="L120" s="328"/>
      <c r="M120" s="328"/>
      <c r="N120" s="328">
        <f t="shared" si="16"/>
        <v>0</v>
      </c>
      <c r="O120" s="422">
        <f t="shared" si="23"/>
        <v>101957.25</v>
      </c>
      <c r="P120" s="356"/>
    </row>
    <row r="121" spans="1:16" ht="12.75">
      <c r="A121" s="170" t="s">
        <v>202</v>
      </c>
      <c r="B121" s="312" t="s">
        <v>203</v>
      </c>
      <c r="C121" s="171">
        <v>800</v>
      </c>
      <c r="D121" s="185">
        <v>0</v>
      </c>
      <c r="E121" s="185">
        <v>800</v>
      </c>
      <c r="F121" s="185">
        <v>0</v>
      </c>
      <c r="G121" s="185">
        <v>0</v>
      </c>
      <c r="H121" s="237">
        <f t="shared" si="22"/>
        <v>800</v>
      </c>
      <c r="I121" s="187">
        <v>800</v>
      </c>
      <c r="J121" s="187">
        <v>0</v>
      </c>
      <c r="L121" s="328"/>
      <c r="M121" s="328"/>
      <c r="N121" s="328">
        <f t="shared" si="16"/>
        <v>0</v>
      </c>
      <c r="O121" s="422">
        <f t="shared" si="23"/>
        <v>81160</v>
      </c>
      <c r="P121" s="356"/>
    </row>
    <row r="122" spans="1:16" ht="12.75">
      <c r="A122" s="174" t="s">
        <v>204</v>
      </c>
      <c r="B122" s="312" t="s">
        <v>205</v>
      </c>
      <c r="C122" s="171">
        <v>730</v>
      </c>
      <c r="D122" s="185">
        <v>0</v>
      </c>
      <c r="E122" s="185">
        <v>730</v>
      </c>
      <c r="F122" s="185">
        <v>0</v>
      </c>
      <c r="G122" s="185">
        <v>0</v>
      </c>
      <c r="H122" s="237">
        <f t="shared" si="22"/>
        <v>730</v>
      </c>
      <c r="I122" s="187">
        <v>730</v>
      </c>
      <c r="J122" s="187">
        <v>0</v>
      </c>
      <c r="L122" s="328"/>
      <c r="M122" s="328"/>
      <c r="N122" s="328">
        <f t="shared" si="16"/>
        <v>0</v>
      </c>
      <c r="O122" s="422">
        <f t="shared" si="23"/>
        <v>74058.5</v>
      </c>
      <c r="P122" s="356"/>
    </row>
    <row r="123" spans="1:16" ht="12.75">
      <c r="A123" s="170" t="s">
        <v>206</v>
      </c>
      <c r="B123" s="312" t="s">
        <v>207</v>
      </c>
      <c r="C123" s="171">
        <v>600</v>
      </c>
      <c r="D123" s="185">
        <v>0</v>
      </c>
      <c r="E123" s="185">
        <v>600</v>
      </c>
      <c r="F123" s="185">
        <v>0</v>
      </c>
      <c r="G123" s="185">
        <v>0</v>
      </c>
      <c r="H123" s="237">
        <f t="shared" si="22"/>
        <v>600</v>
      </c>
      <c r="I123" s="187">
        <v>600</v>
      </c>
      <c r="J123" s="187">
        <v>0</v>
      </c>
      <c r="L123" s="328"/>
      <c r="M123" s="328"/>
      <c r="N123" s="328">
        <f t="shared" si="16"/>
        <v>0</v>
      </c>
      <c r="O123" s="422">
        <f t="shared" si="23"/>
        <v>60870</v>
      </c>
      <c r="P123" s="356"/>
    </row>
    <row r="124" spans="1:16" ht="12.75">
      <c r="A124" s="174" t="s">
        <v>208</v>
      </c>
      <c r="B124" s="312" t="s">
        <v>209</v>
      </c>
      <c r="C124" s="171">
        <v>500</v>
      </c>
      <c r="D124" s="185">
        <v>0</v>
      </c>
      <c r="E124" s="185">
        <v>500</v>
      </c>
      <c r="F124" s="185">
        <v>0</v>
      </c>
      <c r="G124" s="185">
        <v>0</v>
      </c>
      <c r="H124" s="237">
        <f t="shared" si="22"/>
        <v>500</v>
      </c>
      <c r="I124" s="187">
        <v>500</v>
      </c>
      <c r="J124" s="187">
        <v>0</v>
      </c>
      <c r="L124" s="328"/>
      <c r="M124" s="328"/>
      <c r="N124" s="328">
        <f t="shared" si="16"/>
        <v>0</v>
      </c>
      <c r="O124" s="422">
        <f t="shared" si="23"/>
        <v>50725</v>
      </c>
      <c r="P124" s="356"/>
    </row>
    <row r="125" spans="1:16" ht="12.75">
      <c r="A125" s="170" t="s">
        <v>210</v>
      </c>
      <c r="B125" s="312" t="s">
        <v>211</v>
      </c>
      <c r="C125" s="171">
        <v>500</v>
      </c>
      <c r="D125" s="185">
        <v>0</v>
      </c>
      <c r="E125" s="185">
        <v>500</v>
      </c>
      <c r="F125" s="185">
        <v>0</v>
      </c>
      <c r="G125" s="185">
        <v>0</v>
      </c>
      <c r="H125" s="237">
        <f t="shared" si="22"/>
        <v>500</v>
      </c>
      <c r="I125" s="187">
        <v>500</v>
      </c>
      <c r="J125" s="187">
        <v>0</v>
      </c>
      <c r="L125" s="328"/>
      <c r="M125" s="328"/>
      <c r="N125" s="328">
        <f t="shared" si="16"/>
        <v>0</v>
      </c>
      <c r="O125" s="422">
        <f t="shared" si="23"/>
        <v>50725</v>
      </c>
      <c r="P125" s="356"/>
    </row>
    <row r="126" spans="1:16" ht="12.75">
      <c r="A126" s="174" t="s">
        <v>212</v>
      </c>
      <c r="B126" s="312" t="s">
        <v>213</v>
      </c>
      <c r="C126" s="171">
        <v>300</v>
      </c>
      <c r="D126" s="185">
        <v>0</v>
      </c>
      <c r="E126" s="185">
        <v>300</v>
      </c>
      <c r="F126" s="185">
        <v>0</v>
      </c>
      <c r="G126" s="185">
        <v>0</v>
      </c>
      <c r="H126" s="237">
        <f t="shared" si="22"/>
        <v>300</v>
      </c>
      <c r="I126" s="187">
        <v>300</v>
      </c>
      <c r="J126" s="187">
        <v>0</v>
      </c>
      <c r="L126" s="328"/>
      <c r="M126" s="328"/>
      <c r="N126" s="328">
        <f t="shared" si="16"/>
        <v>0</v>
      </c>
      <c r="O126" s="422">
        <f t="shared" si="23"/>
        <v>30435</v>
      </c>
      <c r="P126" s="356"/>
    </row>
    <row r="127" spans="1:16" ht="12.75">
      <c r="A127" s="170" t="s">
        <v>214</v>
      </c>
      <c r="B127" s="312" t="s">
        <v>215</v>
      </c>
      <c r="C127" s="171">
        <v>400</v>
      </c>
      <c r="D127" s="185">
        <v>0</v>
      </c>
      <c r="E127" s="185">
        <v>400</v>
      </c>
      <c r="F127" s="185">
        <v>0</v>
      </c>
      <c r="G127" s="185">
        <v>0</v>
      </c>
      <c r="H127" s="237">
        <f t="shared" si="22"/>
        <v>400</v>
      </c>
      <c r="I127" s="187">
        <v>400</v>
      </c>
      <c r="J127" s="187">
        <v>0</v>
      </c>
      <c r="L127" s="328"/>
      <c r="M127" s="328"/>
      <c r="N127" s="328">
        <f t="shared" si="16"/>
        <v>0</v>
      </c>
      <c r="O127" s="422">
        <f t="shared" si="23"/>
        <v>40580</v>
      </c>
      <c r="P127" s="356"/>
    </row>
    <row r="128" spans="1:16" ht="12.75">
      <c r="A128" s="174" t="s">
        <v>216</v>
      </c>
      <c r="B128" s="312" t="s">
        <v>217</v>
      </c>
      <c r="C128" s="171">
        <v>750</v>
      </c>
      <c r="D128" s="185">
        <v>0</v>
      </c>
      <c r="E128" s="185">
        <v>750</v>
      </c>
      <c r="F128" s="185">
        <v>0</v>
      </c>
      <c r="G128" s="185">
        <v>0</v>
      </c>
      <c r="H128" s="237">
        <f t="shared" si="22"/>
        <v>750</v>
      </c>
      <c r="I128" s="187">
        <v>750</v>
      </c>
      <c r="J128" s="187">
        <v>0</v>
      </c>
      <c r="L128" s="328"/>
      <c r="M128" s="328"/>
      <c r="N128" s="328">
        <f t="shared" si="16"/>
        <v>0</v>
      </c>
      <c r="O128" s="422">
        <f t="shared" si="23"/>
        <v>76087.5</v>
      </c>
      <c r="P128" s="356"/>
    </row>
    <row r="129" spans="1:16" ht="63.75">
      <c r="A129" s="170" t="s">
        <v>218</v>
      </c>
      <c r="B129" s="312" t="s">
        <v>219</v>
      </c>
      <c r="C129" s="171">
        <v>60000</v>
      </c>
      <c r="D129" s="185">
        <v>0</v>
      </c>
      <c r="E129" s="185">
        <v>60000</v>
      </c>
      <c r="F129" s="185">
        <v>0</v>
      </c>
      <c r="G129" s="185">
        <v>0</v>
      </c>
      <c r="H129" s="237">
        <f t="shared" si="22"/>
        <v>60000</v>
      </c>
      <c r="I129" s="187">
        <v>60000</v>
      </c>
      <c r="J129" s="187">
        <v>0</v>
      </c>
      <c r="L129" s="328"/>
      <c r="M129" s="328">
        <v>0</v>
      </c>
      <c r="N129" s="328">
        <f t="shared" si="16"/>
        <v>0</v>
      </c>
      <c r="O129" s="422">
        <f t="shared" si="23"/>
        <v>6087000</v>
      </c>
      <c r="P129" s="356"/>
    </row>
    <row r="130" spans="1:16" ht="18.75">
      <c r="A130" s="174" t="s">
        <v>220</v>
      </c>
      <c r="B130" s="312" t="s">
        <v>221</v>
      </c>
      <c r="C130" s="171">
        <v>12000</v>
      </c>
      <c r="D130" s="185">
        <v>0</v>
      </c>
      <c r="E130" s="185">
        <v>12000</v>
      </c>
      <c r="F130" s="185">
        <v>0</v>
      </c>
      <c r="G130" s="185">
        <v>0</v>
      </c>
      <c r="H130" s="237">
        <f t="shared" si="22"/>
        <v>12000</v>
      </c>
      <c r="I130" s="187">
        <v>12000</v>
      </c>
      <c r="J130" s="187">
        <v>0</v>
      </c>
      <c r="L130" s="328"/>
      <c r="M130" s="328"/>
      <c r="N130" s="328">
        <f t="shared" si="16"/>
        <v>0</v>
      </c>
      <c r="O130" s="422">
        <f t="shared" si="23"/>
        <v>1217400</v>
      </c>
      <c r="P130" s="356"/>
    </row>
    <row r="131" spans="1:16" ht="12.75">
      <c r="A131" s="170" t="s">
        <v>222</v>
      </c>
      <c r="B131" s="312" t="s">
        <v>223</v>
      </c>
      <c r="C131" s="171">
        <v>58421</v>
      </c>
      <c r="D131" s="185">
        <v>0</v>
      </c>
      <c r="E131" s="185">
        <v>58421</v>
      </c>
      <c r="F131" s="185">
        <v>0</v>
      </c>
      <c r="G131" s="185">
        <v>0</v>
      </c>
      <c r="H131" s="237">
        <f t="shared" si="22"/>
        <v>58421</v>
      </c>
      <c r="I131" s="187">
        <v>58421</v>
      </c>
      <c r="J131" s="187">
        <v>0</v>
      </c>
      <c r="L131" s="328"/>
      <c r="M131" s="328"/>
      <c r="N131" s="328">
        <f t="shared" si="16"/>
        <v>0</v>
      </c>
      <c r="O131" s="422">
        <f t="shared" si="23"/>
        <v>5926810.45</v>
      </c>
      <c r="P131" s="356"/>
    </row>
    <row r="132" spans="1:16" ht="12.75">
      <c r="A132" s="174" t="s">
        <v>224</v>
      </c>
      <c r="B132" s="312" t="s">
        <v>225</v>
      </c>
      <c r="C132" s="171">
        <v>9450</v>
      </c>
      <c r="D132" s="185">
        <v>0</v>
      </c>
      <c r="E132" s="185">
        <v>9450</v>
      </c>
      <c r="F132" s="185">
        <v>0</v>
      </c>
      <c r="G132" s="185">
        <v>0</v>
      </c>
      <c r="H132" s="237">
        <f t="shared" si="22"/>
        <v>9450</v>
      </c>
      <c r="I132" s="187">
        <v>9450</v>
      </c>
      <c r="J132" s="187">
        <v>0</v>
      </c>
      <c r="L132" s="328"/>
      <c r="M132" s="328"/>
      <c r="N132" s="328">
        <f t="shared" si="16"/>
        <v>0</v>
      </c>
      <c r="O132" s="422">
        <f t="shared" si="23"/>
        <v>958702.5</v>
      </c>
      <c r="P132" s="356"/>
    </row>
    <row r="133" spans="1:16" ht="12.75">
      <c r="A133" s="170" t="s">
        <v>226</v>
      </c>
      <c r="B133" s="312" t="s">
        <v>227</v>
      </c>
      <c r="C133" s="171">
        <v>15000</v>
      </c>
      <c r="D133" s="185">
        <v>0</v>
      </c>
      <c r="E133" s="185">
        <v>15000</v>
      </c>
      <c r="F133" s="185">
        <v>0</v>
      </c>
      <c r="G133" s="185">
        <v>0</v>
      </c>
      <c r="H133" s="237">
        <f t="shared" si="22"/>
        <v>15000</v>
      </c>
      <c r="I133" s="187">
        <v>15000</v>
      </c>
      <c r="J133" s="187">
        <v>0</v>
      </c>
      <c r="L133" s="328"/>
      <c r="M133" s="328"/>
      <c r="N133" s="328">
        <f t="shared" si="16"/>
        <v>0</v>
      </c>
      <c r="O133" s="422">
        <f t="shared" si="23"/>
        <v>1521750</v>
      </c>
      <c r="P133" s="356"/>
    </row>
    <row r="134" spans="1:16" ht="12.75">
      <c r="A134" s="174" t="s">
        <v>228</v>
      </c>
      <c r="B134" s="295" t="s">
        <v>229</v>
      </c>
      <c r="C134" s="171">
        <v>7000</v>
      </c>
      <c r="D134" s="185">
        <v>0</v>
      </c>
      <c r="E134" s="185">
        <v>7000</v>
      </c>
      <c r="F134" s="185">
        <v>0</v>
      </c>
      <c r="G134" s="185">
        <v>0</v>
      </c>
      <c r="H134" s="237">
        <f t="shared" si="22"/>
        <v>7000</v>
      </c>
      <c r="I134" s="187">
        <v>7000</v>
      </c>
      <c r="J134" s="187">
        <v>0</v>
      </c>
      <c r="L134" s="328"/>
      <c r="M134" s="328"/>
      <c r="N134" s="328">
        <f t="shared" si="16"/>
        <v>0</v>
      </c>
      <c r="O134" s="422">
        <f t="shared" si="23"/>
        <v>710150</v>
      </c>
      <c r="P134" s="356"/>
    </row>
    <row r="135" spans="1:16" ht="12.75">
      <c r="A135" s="170" t="s">
        <v>230</v>
      </c>
      <c r="B135" s="312" t="s">
        <v>231</v>
      </c>
      <c r="C135" s="171">
        <v>15000</v>
      </c>
      <c r="D135" s="185">
        <v>0</v>
      </c>
      <c r="E135" s="185">
        <v>15000</v>
      </c>
      <c r="F135" s="185">
        <v>0</v>
      </c>
      <c r="G135" s="185">
        <v>0</v>
      </c>
      <c r="H135" s="237">
        <f t="shared" si="22"/>
        <v>15000</v>
      </c>
      <c r="I135" s="187">
        <v>15000</v>
      </c>
      <c r="J135" s="187">
        <v>0</v>
      </c>
      <c r="L135" s="328"/>
      <c r="M135" s="328"/>
      <c r="N135" s="328">
        <f t="shared" si="16"/>
        <v>0</v>
      </c>
      <c r="O135" s="422">
        <f t="shared" si="23"/>
        <v>1521750</v>
      </c>
      <c r="P135" s="356"/>
    </row>
    <row r="136" spans="1:16" ht="12.75">
      <c r="A136" s="174" t="s">
        <v>232</v>
      </c>
      <c r="B136" s="312" t="s">
        <v>233</v>
      </c>
      <c r="C136" s="171">
        <v>5000</v>
      </c>
      <c r="D136" s="185">
        <v>0</v>
      </c>
      <c r="E136" s="185">
        <v>5000</v>
      </c>
      <c r="F136" s="185">
        <v>0</v>
      </c>
      <c r="G136" s="185">
        <v>0</v>
      </c>
      <c r="H136" s="237">
        <f t="shared" si="22"/>
        <v>5000</v>
      </c>
      <c r="I136" s="187">
        <v>5000</v>
      </c>
      <c r="J136" s="187">
        <v>0</v>
      </c>
      <c r="L136" s="328"/>
      <c r="M136" s="328"/>
      <c r="N136" s="328">
        <f t="shared" si="16"/>
        <v>0</v>
      </c>
      <c r="O136" s="422">
        <f t="shared" si="23"/>
        <v>507250</v>
      </c>
      <c r="P136" s="356"/>
    </row>
    <row r="137" spans="1:16" ht="12.75">
      <c r="A137" s="170" t="s">
        <v>234</v>
      </c>
      <c r="B137" s="312" t="s">
        <v>235</v>
      </c>
      <c r="C137" s="171">
        <v>8000</v>
      </c>
      <c r="D137" s="185">
        <v>0</v>
      </c>
      <c r="E137" s="185">
        <v>8000</v>
      </c>
      <c r="F137" s="185">
        <v>0</v>
      </c>
      <c r="G137" s="185">
        <v>0</v>
      </c>
      <c r="H137" s="237">
        <f t="shared" si="22"/>
        <v>8000</v>
      </c>
      <c r="I137" s="187">
        <v>8000</v>
      </c>
      <c r="J137" s="187">
        <v>0</v>
      </c>
      <c r="L137" s="328"/>
      <c r="M137" s="328"/>
      <c r="N137" s="328">
        <f t="shared" si="16"/>
        <v>0</v>
      </c>
      <c r="O137" s="422">
        <f t="shared" si="23"/>
        <v>811600</v>
      </c>
      <c r="P137" s="356"/>
    </row>
    <row r="138" spans="1:16" ht="12.75">
      <c r="A138" s="174" t="s">
        <v>236</v>
      </c>
      <c r="B138" s="295" t="s">
        <v>237</v>
      </c>
      <c r="C138" s="171">
        <v>1500</v>
      </c>
      <c r="D138" s="185">
        <v>0</v>
      </c>
      <c r="E138" s="185">
        <v>1500</v>
      </c>
      <c r="F138" s="185">
        <v>0</v>
      </c>
      <c r="G138" s="185">
        <v>0</v>
      </c>
      <c r="H138" s="237">
        <v>1500</v>
      </c>
      <c r="I138" s="187">
        <v>1500</v>
      </c>
      <c r="J138" s="187">
        <v>0</v>
      </c>
      <c r="L138" s="328"/>
      <c r="M138" s="328"/>
      <c r="N138" s="328">
        <f t="shared" si="16"/>
        <v>0</v>
      </c>
      <c r="O138" s="422">
        <f t="shared" si="23"/>
        <v>152175</v>
      </c>
      <c r="P138" s="356"/>
    </row>
    <row r="139" spans="1:16" ht="12.75">
      <c r="A139" s="170" t="s">
        <v>238</v>
      </c>
      <c r="B139" s="295" t="s">
        <v>239</v>
      </c>
      <c r="C139" s="171">
        <v>200</v>
      </c>
      <c r="D139" s="185">
        <v>0</v>
      </c>
      <c r="E139" s="185">
        <v>200</v>
      </c>
      <c r="F139" s="185">
        <v>0</v>
      </c>
      <c r="G139" s="185">
        <v>0</v>
      </c>
      <c r="H139" s="237">
        <v>200</v>
      </c>
      <c r="I139" s="187">
        <v>200</v>
      </c>
      <c r="J139" s="187">
        <v>0</v>
      </c>
      <c r="L139" s="328"/>
      <c r="M139" s="328"/>
      <c r="N139" s="328">
        <f t="shared" si="16"/>
        <v>0</v>
      </c>
      <c r="O139" s="422">
        <f t="shared" si="23"/>
        <v>20290</v>
      </c>
      <c r="P139" s="356"/>
    </row>
    <row r="140" spans="1:16" ht="18">
      <c r="A140" s="174" t="s">
        <v>240</v>
      </c>
      <c r="B140" s="313" t="s">
        <v>241</v>
      </c>
      <c r="C140" s="171">
        <v>10000</v>
      </c>
      <c r="D140" s="185">
        <v>0</v>
      </c>
      <c r="E140" s="185">
        <v>10000</v>
      </c>
      <c r="F140" s="185">
        <v>0</v>
      </c>
      <c r="G140" s="185">
        <v>0</v>
      </c>
      <c r="H140" s="237">
        <v>10000</v>
      </c>
      <c r="I140" s="187">
        <v>10000</v>
      </c>
      <c r="J140" s="187">
        <v>0</v>
      </c>
      <c r="L140" s="328"/>
      <c r="M140" s="328"/>
      <c r="N140" s="328">
        <f aca="true" t="shared" si="24" ref="N140:N203">L140+M140</f>
        <v>0</v>
      </c>
      <c r="O140" s="422">
        <f t="shared" si="23"/>
        <v>1014500</v>
      </c>
      <c r="P140" s="356"/>
    </row>
    <row r="141" spans="1:16" ht="13.5" thickBot="1">
      <c r="A141" s="174" t="s">
        <v>242</v>
      </c>
      <c r="B141" s="312" t="s">
        <v>243</v>
      </c>
      <c r="C141" s="171">
        <v>10000</v>
      </c>
      <c r="D141" s="185">
        <v>0</v>
      </c>
      <c r="E141" s="185">
        <v>10000</v>
      </c>
      <c r="F141" s="185">
        <v>0</v>
      </c>
      <c r="G141" s="185">
        <v>0</v>
      </c>
      <c r="H141" s="237">
        <f t="shared" si="22"/>
        <v>10000</v>
      </c>
      <c r="I141" s="187">
        <v>0</v>
      </c>
      <c r="J141" s="239">
        <v>10000</v>
      </c>
      <c r="L141" s="331"/>
      <c r="M141" s="331"/>
      <c r="N141" s="328">
        <f t="shared" si="24"/>
        <v>0</v>
      </c>
      <c r="O141" s="422">
        <f t="shared" si="23"/>
        <v>1014500</v>
      </c>
      <c r="P141" s="356"/>
    </row>
    <row r="142" spans="1:16" ht="13.5" thickBot="1">
      <c r="A142" s="176"/>
      <c r="B142" s="302" t="s">
        <v>75</v>
      </c>
      <c r="C142" s="240">
        <f>SUM(C115:C141)</f>
        <v>328656</v>
      </c>
      <c r="D142" s="241">
        <f aca="true" t="shared" si="25" ref="D142:J142">SUM(D115:D141)</f>
        <v>0</v>
      </c>
      <c r="E142" s="241">
        <f>SUM(E115:E141)</f>
        <v>328656</v>
      </c>
      <c r="F142" s="241">
        <v>0</v>
      </c>
      <c r="G142" s="241">
        <f t="shared" si="25"/>
        <v>0</v>
      </c>
      <c r="H142" s="240">
        <f>SUM(H115:H141)</f>
        <v>328656</v>
      </c>
      <c r="I142" s="240">
        <f t="shared" si="25"/>
        <v>318656</v>
      </c>
      <c r="J142" s="190">
        <f t="shared" si="25"/>
        <v>10000</v>
      </c>
      <c r="L142" s="332">
        <f>SUM(L115:L141)</f>
        <v>0</v>
      </c>
      <c r="M142" s="332">
        <f>SUM(M115:M141)</f>
        <v>0</v>
      </c>
      <c r="N142" s="426">
        <f t="shared" si="24"/>
        <v>0</v>
      </c>
      <c r="O142" s="427">
        <f>SUM(O115:O141)</f>
        <v>33342151.2</v>
      </c>
      <c r="P142" s="356">
        <f>N142/(E142*101.45)</f>
        <v>0</v>
      </c>
    </row>
    <row r="143" spans="1:16" ht="12.75">
      <c r="A143" s="53"/>
      <c r="B143" s="304"/>
      <c r="C143" s="242"/>
      <c r="D143" s="243"/>
      <c r="E143" s="243"/>
      <c r="F143" s="243"/>
      <c r="G143" s="243"/>
      <c r="H143" s="242"/>
      <c r="I143" s="242"/>
      <c r="J143" s="228"/>
      <c r="L143" s="330"/>
      <c r="M143" s="330"/>
      <c r="N143" s="330"/>
      <c r="O143" s="417"/>
      <c r="P143" s="356"/>
    </row>
    <row r="144" spans="1:16" ht="18.75">
      <c r="A144" s="53">
        <v>4.2</v>
      </c>
      <c r="B144" s="314" t="s">
        <v>244</v>
      </c>
      <c r="C144" s="242"/>
      <c r="D144" s="243"/>
      <c r="E144" s="243"/>
      <c r="F144" s="243"/>
      <c r="G144" s="243"/>
      <c r="H144" s="242"/>
      <c r="I144" s="242"/>
      <c r="J144" s="228"/>
      <c r="L144" s="328"/>
      <c r="M144" s="328"/>
      <c r="N144" s="328"/>
      <c r="O144" s="354"/>
      <c r="P144" s="356"/>
    </row>
    <row r="145" spans="1:16" ht="12.75">
      <c r="A145" s="128" t="s">
        <v>245</v>
      </c>
      <c r="B145" s="295" t="s">
        <v>246</v>
      </c>
      <c r="C145" s="244">
        <v>4000</v>
      </c>
      <c r="D145" s="243">
        <v>0</v>
      </c>
      <c r="E145" s="243">
        <v>0</v>
      </c>
      <c r="F145" s="245">
        <v>4000</v>
      </c>
      <c r="G145" s="245">
        <v>0</v>
      </c>
      <c r="H145" s="244">
        <v>4000</v>
      </c>
      <c r="I145" s="244">
        <v>4000</v>
      </c>
      <c r="J145" s="228">
        <v>0</v>
      </c>
      <c r="L145" s="328"/>
      <c r="M145" s="328"/>
      <c r="N145" s="328">
        <f t="shared" si="24"/>
        <v>0</v>
      </c>
      <c r="O145" s="422">
        <f>101.45*(D145+E145)-N145</f>
        <v>0</v>
      </c>
      <c r="P145" s="356"/>
    </row>
    <row r="146" spans="1:16" ht="12.75">
      <c r="A146" s="128" t="s">
        <v>247</v>
      </c>
      <c r="B146" s="295" t="s">
        <v>248</v>
      </c>
      <c r="C146" s="244">
        <v>4000</v>
      </c>
      <c r="D146" s="243">
        <v>0</v>
      </c>
      <c r="E146" s="243">
        <v>0</v>
      </c>
      <c r="F146" s="245">
        <v>0</v>
      </c>
      <c r="G146" s="245">
        <v>4000</v>
      </c>
      <c r="H146" s="244">
        <v>4000</v>
      </c>
      <c r="I146" s="244">
        <v>4000</v>
      </c>
      <c r="J146" s="228">
        <v>0</v>
      </c>
      <c r="L146" s="328"/>
      <c r="M146" s="328"/>
      <c r="N146" s="328">
        <f t="shared" si="24"/>
        <v>0</v>
      </c>
      <c r="O146" s="422">
        <f>101.45*(D146+E146)-N146</f>
        <v>0</v>
      </c>
      <c r="P146" s="356"/>
    </row>
    <row r="147" spans="1:16" ht="13.5" thickBot="1">
      <c r="A147" s="128" t="s">
        <v>249</v>
      </c>
      <c r="B147" s="295" t="s">
        <v>250</v>
      </c>
      <c r="C147" s="244">
        <v>2000</v>
      </c>
      <c r="D147" s="243">
        <v>0</v>
      </c>
      <c r="E147" s="243">
        <v>0</v>
      </c>
      <c r="F147" s="245">
        <v>2000</v>
      </c>
      <c r="G147" s="245">
        <v>0</v>
      </c>
      <c r="H147" s="244">
        <v>2000</v>
      </c>
      <c r="I147" s="244">
        <v>2000</v>
      </c>
      <c r="J147" s="228">
        <v>0</v>
      </c>
      <c r="L147" s="331"/>
      <c r="M147" s="331"/>
      <c r="N147" s="328">
        <f t="shared" si="24"/>
        <v>0</v>
      </c>
      <c r="O147" s="422">
        <f>101.45*(D147+E147)-N147</f>
        <v>0</v>
      </c>
      <c r="P147" s="356"/>
    </row>
    <row r="148" spans="1:16" ht="13.5" thickBot="1">
      <c r="A148" s="128"/>
      <c r="B148" s="315" t="s">
        <v>75</v>
      </c>
      <c r="C148" s="242">
        <f aca="true" t="shared" si="26" ref="C148:J148">SUM(C145:C147)</f>
        <v>10000</v>
      </c>
      <c r="D148" s="243">
        <f t="shared" si="26"/>
        <v>0</v>
      </c>
      <c r="E148" s="243">
        <f t="shared" si="26"/>
        <v>0</v>
      </c>
      <c r="F148" s="243">
        <f t="shared" si="26"/>
        <v>6000</v>
      </c>
      <c r="G148" s="243">
        <f t="shared" si="26"/>
        <v>4000</v>
      </c>
      <c r="H148" s="242">
        <f t="shared" si="26"/>
        <v>10000</v>
      </c>
      <c r="I148" s="242">
        <f t="shared" si="26"/>
        <v>10000</v>
      </c>
      <c r="J148" s="190">
        <f t="shared" si="26"/>
        <v>0</v>
      </c>
      <c r="L148" s="332">
        <f>L145+L146+L147</f>
        <v>0</v>
      </c>
      <c r="M148" s="332">
        <f>M145+M146+M147</f>
        <v>0</v>
      </c>
      <c r="N148" s="419">
        <f t="shared" si="24"/>
        <v>0</v>
      </c>
      <c r="O148" s="424">
        <f>SUM(O145:O147)</f>
        <v>0</v>
      </c>
      <c r="P148" s="356"/>
    </row>
    <row r="149" spans="1:16" ht="15">
      <c r="A149" s="53"/>
      <c r="B149" s="304"/>
      <c r="C149" s="180"/>
      <c r="D149" s="246"/>
      <c r="E149" s="183"/>
      <c r="F149" s="183"/>
      <c r="G149" s="183"/>
      <c r="H149" s="184"/>
      <c r="I149" s="145"/>
      <c r="J149" s="145"/>
      <c r="M149" s="330"/>
      <c r="N149" s="330"/>
      <c r="O149" s="417"/>
      <c r="P149" s="356"/>
    </row>
    <row r="150" spans="1:16" ht="15">
      <c r="A150" s="135">
        <v>4.4</v>
      </c>
      <c r="B150" s="662" t="s">
        <v>251</v>
      </c>
      <c r="C150" s="663"/>
      <c r="D150" s="663"/>
      <c r="E150" s="663"/>
      <c r="F150" s="663"/>
      <c r="G150" s="663"/>
      <c r="H150" s="664"/>
      <c r="I150" s="145"/>
      <c r="J150" s="145"/>
      <c r="L150" s="328"/>
      <c r="M150" s="328"/>
      <c r="N150" s="328"/>
      <c r="O150" s="354"/>
      <c r="P150" s="356"/>
    </row>
    <row r="151" spans="1:16" ht="18.75">
      <c r="A151" s="170" t="s">
        <v>252</v>
      </c>
      <c r="B151" s="295" t="s">
        <v>253</v>
      </c>
      <c r="C151" s="171">
        <v>15000</v>
      </c>
      <c r="D151" s="179">
        <v>0</v>
      </c>
      <c r="E151" s="179">
        <v>10000</v>
      </c>
      <c r="F151" s="179">
        <v>5000</v>
      </c>
      <c r="G151" s="179">
        <v>0</v>
      </c>
      <c r="H151" s="186">
        <f>D151+E151+F151+G151</f>
        <v>15000</v>
      </c>
      <c r="I151" s="187">
        <v>15000</v>
      </c>
      <c r="J151" s="187">
        <v>0</v>
      </c>
      <c r="L151" s="328"/>
      <c r="M151" s="328">
        <f>501190</f>
        <v>501190</v>
      </c>
      <c r="N151" s="328">
        <f t="shared" si="24"/>
        <v>501190</v>
      </c>
      <c r="O151" s="422">
        <f>101.45*(D151+E151)-N151</f>
        <v>513310</v>
      </c>
      <c r="P151" s="356"/>
    </row>
    <row r="152" spans="1:16" ht="12.75">
      <c r="A152" s="174" t="s">
        <v>254</v>
      </c>
      <c r="B152" s="295" t="s">
        <v>255</v>
      </c>
      <c r="C152" s="193">
        <v>3000</v>
      </c>
      <c r="D152" s="202">
        <v>0</v>
      </c>
      <c r="E152" s="202">
        <v>0</v>
      </c>
      <c r="F152" s="202">
        <v>3000</v>
      </c>
      <c r="G152" s="202">
        <v>0</v>
      </c>
      <c r="H152" s="195">
        <f>D152+E152+F152+G152</f>
        <v>3000</v>
      </c>
      <c r="I152" s="187">
        <v>3000</v>
      </c>
      <c r="J152" s="187">
        <v>0</v>
      </c>
      <c r="L152" s="328"/>
      <c r="M152" s="328"/>
      <c r="N152" s="328">
        <f t="shared" si="24"/>
        <v>0</v>
      </c>
      <c r="O152" s="422">
        <f>101.45*(D152+E152)-N152</f>
        <v>0</v>
      </c>
      <c r="P152" s="356"/>
    </row>
    <row r="153" spans="1:16" ht="13.5" thickBot="1">
      <c r="A153" s="170" t="s">
        <v>256</v>
      </c>
      <c r="B153" s="295" t="s">
        <v>257</v>
      </c>
      <c r="C153" s="193">
        <v>4000</v>
      </c>
      <c r="D153" s="202">
        <v>0</v>
      </c>
      <c r="E153" s="202">
        <v>0</v>
      </c>
      <c r="F153" s="202">
        <v>4000</v>
      </c>
      <c r="G153" s="202">
        <v>0</v>
      </c>
      <c r="H153" s="195">
        <f>D153+E153+F153+G153</f>
        <v>4000</v>
      </c>
      <c r="I153" s="187">
        <v>4000</v>
      </c>
      <c r="J153" s="187">
        <v>0</v>
      </c>
      <c r="L153" s="331"/>
      <c r="M153" s="331"/>
      <c r="N153" s="328">
        <f t="shared" si="24"/>
        <v>0</v>
      </c>
      <c r="O153" s="422">
        <f>101.45*(D153+E153)-N153</f>
        <v>0</v>
      </c>
      <c r="P153" s="356"/>
    </row>
    <row r="154" spans="1:16" ht="13.5" thickBot="1">
      <c r="A154" s="176"/>
      <c r="B154" s="302" t="s">
        <v>75</v>
      </c>
      <c r="C154" s="132">
        <f aca="true" t="shared" si="27" ref="C154:H154">SUM(C151:C153)</f>
        <v>22000</v>
      </c>
      <c r="D154" s="208">
        <f>SUM(D151:D153)</f>
        <v>0</v>
      </c>
      <c r="E154" s="143">
        <f t="shared" si="27"/>
        <v>10000</v>
      </c>
      <c r="F154" s="143">
        <f>SUM(F151:F153)</f>
        <v>12000</v>
      </c>
      <c r="G154" s="143">
        <f t="shared" si="27"/>
        <v>0</v>
      </c>
      <c r="H154" s="144">
        <f t="shared" si="27"/>
        <v>22000</v>
      </c>
      <c r="I154" s="190">
        <f>SUM(I151:I153)</f>
        <v>22000</v>
      </c>
      <c r="J154" s="190">
        <f>SUM(J151:J153)</f>
        <v>0</v>
      </c>
      <c r="L154" s="332">
        <f>L151+L152+L153</f>
        <v>0</v>
      </c>
      <c r="M154" s="332">
        <f>M151+M152+M153</f>
        <v>501190</v>
      </c>
      <c r="N154" s="426">
        <f t="shared" si="24"/>
        <v>501190</v>
      </c>
      <c r="O154" s="427">
        <f>SUM(O151:O153)</f>
        <v>513310</v>
      </c>
      <c r="P154" s="356">
        <f>N154/(E154*101.45)</f>
        <v>0.4940266140956136</v>
      </c>
    </row>
    <row r="155" spans="1:16" ht="15">
      <c r="A155" s="53"/>
      <c r="B155" s="304"/>
      <c r="C155" s="180"/>
      <c r="D155" s="246"/>
      <c r="E155" s="183"/>
      <c r="F155" s="183"/>
      <c r="G155" s="183"/>
      <c r="H155" s="184"/>
      <c r="I155" s="145"/>
      <c r="J155" s="145"/>
      <c r="L155" s="330"/>
      <c r="M155" s="330"/>
      <c r="N155" s="330"/>
      <c r="O155" s="417"/>
      <c r="P155" s="356"/>
    </row>
    <row r="156" spans="1:16" ht="28.5">
      <c r="A156" s="181">
        <v>4.7</v>
      </c>
      <c r="B156" s="315" t="s">
        <v>258</v>
      </c>
      <c r="C156" s="247"/>
      <c r="D156" s="246"/>
      <c r="E156" s="183"/>
      <c r="F156" s="183"/>
      <c r="G156" s="183"/>
      <c r="H156" s="184"/>
      <c r="I156" s="145"/>
      <c r="J156" s="145"/>
      <c r="L156" s="328"/>
      <c r="M156" s="328"/>
      <c r="N156" s="328"/>
      <c r="O156" s="354"/>
      <c r="P156" s="356"/>
    </row>
    <row r="157" spans="1:16" ht="28.5" thickBot="1">
      <c r="A157" s="197" t="s">
        <v>259</v>
      </c>
      <c r="B157" s="312" t="s">
        <v>260</v>
      </c>
      <c r="C157" s="238">
        <v>20000</v>
      </c>
      <c r="D157" s="208">
        <v>0</v>
      </c>
      <c r="E157" s="208">
        <v>10000</v>
      </c>
      <c r="F157" s="208">
        <v>10000</v>
      </c>
      <c r="G157" s="204">
        <v>0</v>
      </c>
      <c r="H157" s="210">
        <f>SUM(D157:G157)</f>
        <v>20000</v>
      </c>
      <c r="I157" s="187">
        <v>20000</v>
      </c>
      <c r="J157" s="187">
        <v>0</v>
      </c>
      <c r="L157" s="331">
        <f>316475</f>
        <v>316475</v>
      </c>
      <c r="M157" s="331"/>
      <c r="N157" s="328">
        <f t="shared" si="24"/>
        <v>316475</v>
      </c>
      <c r="O157" s="422">
        <f>101.45*(D157+E157)-N157</f>
        <v>698025</v>
      </c>
      <c r="P157" s="356"/>
    </row>
    <row r="158" spans="1:16" ht="13.5" thickBot="1">
      <c r="A158" s="197"/>
      <c r="B158" s="316" t="s">
        <v>75</v>
      </c>
      <c r="C158" s="248">
        <f>C157</f>
        <v>20000</v>
      </c>
      <c r="D158" s="208">
        <v>0</v>
      </c>
      <c r="E158" s="208">
        <f>E157</f>
        <v>10000</v>
      </c>
      <c r="F158" s="208">
        <v>0</v>
      </c>
      <c r="G158" s="143">
        <f>G157</f>
        <v>0</v>
      </c>
      <c r="H158" s="209">
        <f>H157</f>
        <v>20000</v>
      </c>
      <c r="I158" s="190">
        <f>SUM(I157)</f>
        <v>20000</v>
      </c>
      <c r="J158" s="190">
        <f>SUM(J157)</f>
        <v>0</v>
      </c>
      <c r="L158" s="334">
        <f>L157</f>
        <v>316475</v>
      </c>
      <c r="M158" s="334">
        <f>M157</f>
        <v>0</v>
      </c>
      <c r="N158" s="425">
        <f t="shared" si="24"/>
        <v>316475</v>
      </c>
      <c r="O158" s="427">
        <f>SUM(O157)</f>
        <v>698025</v>
      </c>
      <c r="P158" s="356">
        <f>N158/(E158*101.45)</f>
        <v>0.31195170034499753</v>
      </c>
    </row>
    <row r="159" spans="1:16" ht="12.75">
      <c r="A159" s="249"/>
      <c r="B159" s="295"/>
      <c r="C159" s="67"/>
      <c r="D159" s="246"/>
      <c r="E159" s="183"/>
      <c r="F159" s="183"/>
      <c r="G159" s="183"/>
      <c r="H159" s="184"/>
      <c r="I159" s="250"/>
      <c r="J159" s="250"/>
      <c r="L159" s="330"/>
      <c r="M159" s="330"/>
      <c r="N159" s="330"/>
      <c r="O159" s="417"/>
      <c r="P159" s="356"/>
    </row>
    <row r="160" spans="1:16" ht="12.75">
      <c r="A160" s="135">
        <v>4.8</v>
      </c>
      <c r="B160" s="662" t="s">
        <v>413</v>
      </c>
      <c r="C160" s="663"/>
      <c r="D160" s="663"/>
      <c r="E160" s="663"/>
      <c r="F160" s="663"/>
      <c r="G160" s="663"/>
      <c r="H160" s="664"/>
      <c r="I160" s="250"/>
      <c r="J160" s="250"/>
      <c r="L160" s="328"/>
      <c r="M160" s="328"/>
      <c r="N160" s="328"/>
      <c r="O160" s="354"/>
      <c r="P160" s="356"/>
    </row>
    <row r="161" spans="1:16" ht="27.75">
      <c r="A161" s="251" t="s">
        <v>261</v>
      </c>
      <c r="B161" s="312" t="s">
        <v>262</v>
      </c>
      <c r="C161" s="252">
        <v>30000</v>
      </c>
      <c r="D161" s="208">
        <v>0</v>
      </c>
      <c r="E161" s="208">
        <v>10000</v>
      </c>
      <c r="F161" s="208">
        <v>10000</v>
      </c>
      <c r="G161" s="208">
        <v>10000</v>
      </c>
      <c r="H161" s="165">
        <f>SUM(D161:G161)</f>
        <v>30000</v>
      </c>
      <c r="I161" s="187">
        <v>30000</v>
      </c>
      <c r="J161" s="187">
        <v>0</v>
      </c>
      <c r="L161" s="328">
        <f>356069</f>
        <v>356069</v>
      </c>
      <c r="M161" s="328">
        <f>52950</f>
        <v>52950</v>
      </c>
      <c r="N161" s="328">
        <f t="shared" si="24"/>
        <v>409019</v>
      </c>
      <c r="O161" s="422">
        <f>101.45*(D161+E161)-N161</f>
        <v>605481</v>
      </c>
      <c r="P161" s="356"/>
    </row>
    <row r="162" spans="1:16" ht="28.5" thickBot="1">
      <c r="A162" s="174" t="s">
        <v>263</v>
      </c>
      <c r="B162" s="295" t="s">
        <v>264</v>
      </c>
      <c r="C162" s="193">
        <v>3500</v>
      </c>
      <c r="D162" s="202">
        <v>0</v>
      </c>
      <c r="E162" s="202">
        <v>0</v>
      </c>
      <c r="F162" s="202">
        <v>3500</v>
      </c>
      <c r="G162" s="202">
        <v>0</v>
      </c>
      <c r="H162" s="195">
        <f>D162+E162+F162+G162</f>
        <v>3500</v>
      </c>
      <c r="I162" s="187">
        <v>0</v>
      </c>
      <c r="J162" s="187">
        <v>3500</v>
      </c>
      <c r="L162" s="331"/>
      <c r="M162" s="331"/>
      <c r="N162" s="328">
        <f t="shared" si="24"/>
        <v>0</v>
      </c>
      <c r="O162" s="422">
        <f>101.45*(D162+E162)-N162</f>
        <v>0</v>
      </c>
      <c r="P162" s="356"/>
    </row>
    <row r="163" spans="1:16" ht="13.5" thickBot="1">
      <c r="A163" s="176"/>
      <c r="B163" s="302" t="s">
        <v>75</v>
      </c>
      <c r="C163" s="132">
        <f>SUM(C162+C161)</f>
        <v>33500</v>
      </c>
      <c r="D163" s="208">
        <f>SUM(D162:D162)</f>
        <v>0</v>
      </c>
      <c r="E163" s="143">
        <f>+SUM(E161:E162)</f>
        <v>10000</v>
      </c>
      <c r="F163" s="143">
        <f>+SUM(F161:F162)</f>
        <v>13500</v>
      </c>
      <c r="G163" s="143">
        <f>+SUM(G161:G162)</f>
        <v>10000</v>
      </c>
      <c r="H163" s="144">
        <f>SUM(H162+H161)</f>
        <v>33500</v>
      </c>
      <c r="I163" s="190">
        <f>SUM(I161:I162)</f>
        <v>30000</v>
      </c>
      <c r="J163" s="190">
        <f>SUM(J161:J162)</f>
        <v>3500</v>
      </c>
      <c r="L163" s="332">
        <f>L161+L162</f>
        <v>356069</v>
      </c>
      <c r="M163" s="332">
        <f>M161+M162</f>
        <v>52950</v>
      </c>
      <c r="N163" s="426">
        <f t="shared" si="24"/>
        <v>409019</v>
      </c>
      <c r="O163" s="427">
        <f>SUM(O161:O162)</f>
        <v>605481</v>
      </c>
      <c r="P163" s="356">
        <f>N163/(E163*101.45)</f>
        <v>0.4031729916214884</v>
      </c>
    </row>
    <row r="164" spans="1:16" ht="15">
      <c r="A164" s="53"/>
      <c r="B164" s="304"/>
      <c r="C164" s="180"/>
      <c r="D164" s="246"/>
      <c r="E164" s="183"/>
      <c r="F164" s="183"/>
      <c r="G164" s="183"/>
      <c r="H164" s="184"/>
      <c r="I164" s="145"/>
      <c r="J164" s="145"/>
      <c r="M164" s="330"/>
      <c r="N164" s="330"/>
      <c r="O164" s="417"/>
      <c r="P164" s="356"/>
    </row>
    <row r="165" spans="1:16" ht="15">
      <c r="A165" s="135">
        <v>4.9</v>
      </c>
      <c r="B165" s="662" t="s">
        <v>265</v>
      </c>
      <c r="C165" s="663"/>
      <c r="D165" s="663"/>
      <c r="E165" s="663"/>
      <c r="F165" s="663"/>
      <c r="G165" s="663"/>
      <c r="H165" s="664"/>
      <c r="I165" s="145"/>
      <c r="J165" s="145"/>
      <c r="L165" s="328"/>
      <c r="M165" s="328"/>
      <c r="N165" s="328"/>
      <c r="O165" s="354"/>
      <c r="P165" s="356"/>
    </row>
    <row r="166" spans="1:16" ht="28.5" thickBot="1">
      <c r="A166" s="174" t="s">
        <v>266</v>
      </c>
      <c r="B166" s="295" t="s">
        <v>267</v>
      </c>
      <c r="C166" s="193">
        <v>5000</v>
      </c>
      <c r="D166" s="202">
        <v>1000</v>
      </c>
      <c r="E166" s="202">
        <v>2000</v>
      </c>
      <c r="F166" s="202">
        <v>2000</v>
      </c>
      <c r="G166" s="202">
        <v>0</v>
      </c>
      <c r="H166" s="195">
        <f>D166+E166+F166+G166</f>
        <v>5000</v>
      </c>
      <c r="I166" s="187">
        <v>5000</v>
      </c>
      <c r="J166" s="187">
        <v>0</v>
      </c>
      <c r="L166" s="331">
        <v>0</v>
      </c>
      <c r="M166" s="331">
        <v>0</v>
      </c>
      <c r="N166" s="328">
        <f t="shared" si="24"/>
        <v>0</v>
      </c>
      <c r="O166" s="422">
        <f>101.45*(D166+E166)-N166</f>
        <v>304350</v>
      </c>
      <c r="P166" s="356"/>
    </row>
    <row r="167" spans="1:16" ht="13.5" thickBot="1">
      <c r="A167" s="176"/>
      <c r="B167" s="302" t="s">
        <v>75</v>
      </c>
      <c r="C167" s="132">
        <f aca="true" t="shared" si="28" ref="C167:H167">SUM(C166:C166)</f>
        <v>5000</v>
      </c>
      <c r="D167" s="208">
        <f t="shared" si="28"/>
        <v>1000</v>
      </c>
      <c r="E167" s="143">
        <f t="shared" si="28"/>
        <v>2000</v>
      </c>
      <c r="F167" s="143">
        <f t="shared" si="28"/>
        <v>2000</v>
      </c>
      <c r="G167" s="143">
        <f t="shared" si="28"/>
        <v>0</v>
      </c>
      <c r="H167" s="144">
        <f t="shared" si="28"/>
        <v>5000</v>
      </c>
      <c r="I167" s="190">
        <f>SUM(I166)</f>
        <v>5000</v>
      </c>
      <c r="J167" s="190">
        <f>SUM(J166)</f>
        <v>0</v>
      </c>
      <c r="L167" s="332">
        <f>L166</f>
        <v>0</v>
      </c>
      <c r="M167" s="332">
        <f>M166</f>
        <v>0</v>
      </c>
      <c r="N167" s="426">
        <f t="shared" si="24"/>
        <v>0</v>
      </c>
      <c r="O167" s="427">
        <f>SUM(O166)</f>
        <v>304350</v>
      </c>
      <c r="P167" s="356">
        <f>N167/(E167*101.45)</f>
        <v>0</v>
      </c>
    </row>
    <row r="168" spans="1:16" ht="15">
      <c r="A168" s="53"/>
      <c r="B168" s="304"/>
      <c r="C168" s="180"/>
      <c r="D168" s="246"/>
      <c r="E168" s="183"/>
      <c r="F168" s="183"/>
      <c r="G168" s="183"/>
      <c r="H168" s="184"/>
      <c r="I168" s="145"/>
      <c r="J168" s="145"/>
      <c r="L168" s="330"/>
      <c r="M168" s="330"/>
      <c r="N168" s="330"/>
      <c r="O168" s="417"/>
      <c r="P168" s="356"/>
    </row>
    <row r="169" spans="1:16" ht="15">
      <c r="A169" s="152">
        <v>4.11</v>
      </c>
      <c r="B169" s="662" t="s">
        <v>268</v>
      </c>
      <c r="C169" s="663"/>
      <c r="D169" s="663"/>
      <c r="E169" s="663"/>
      <c r="F169" s="663"/>
      <c r="G169" s="663"/>
      <c r="H169" s="664"/>
      <c r="I169" s="145"/>
      <c r="J169" s="145"/>
      <c r="L169" s="328"/>
      <c r="M169" s="328"/>
      <c r="N169" s="328"/>
      <c r="O169" s="354"/>
      <c r="P169" s="356"/>
    </row>
    <row r="170" spans="1:16" ht="27.75">
      <c r="A170" s="174" t="s">
        <v>269</v>
      </c>
      <c r="B170" s="295" t="s">
        <v>270</v>
      </c>
      <c r="C170" s="193">
        <v>10000</v>
      </c>
      <c r="D170" s="202">
        <v>0</v>
      </c>
      <c r="E170" s="202">
        <v>0</v>
      </c>
      <c r="F170" s="202">
        <v>5000</v>
      </c>
      <c r="G170" s="202">
        <v>5000</v>
      </c>
      <c r="H170" s="195">
        <f>D170+E170+F170+G170</f>
        <v>10000</v>
      </c>
      <c r="I170" s="187">
        <v>10000</v>
      </c>
      <c r="J170" s="187">
        <v>0</v>
      </c>
      <c r="L170" s="328"/>
      <c r="M170" s="328"/>
      <c r="N170" s="328">
        <f t="shared" si="24"/>
        <v>0</v>
      </c>
      <c r="O170" s="422">
        <f>101.45*(D170+E170)-N170</f>
        <v>0</v>
      </c>
      <c r="P170" s="356"/>
    </row>
    <row r="171" spans="1:16" ht="13.5" thickBot="1">
      <c r="A171" s="174" t="s">
        <v>271</v>
      </c>
      <c r="B171" s="295" t="s">
        <v>272</v>
      </c>
      <c r="C171" s="193">
        <v>2000</v>
      </c>
      <c r="D171" s="202"/>
      <c r="E171" s="202">
        <v>0</v>
      </c>
      <c r="F171" s="202">
        <v>0</v>
      </c>
      <c r="G171" s="202">
        <v>2000</v>
      </c>
      <c r="H171" s="216">
        <v>2000</v>
      </c>
      <c r="I171" s="187">
        <v>0</v>
      </c>
      <c r="J171" s="187">
        <v>2000</v>
      </c>
      <c r="L171" s="331"/>
      <c r="M171" s="331"/>
      <c r="N171" s="328">
        <f t="shared" si="24"/>
        <v>0</v>
      </c>
      <c r="O171" s="422">
        <f>101.45*(D171+E171)-N171</f>
        <v>0</v>
      </c>
      <c r="P171" s="356"/>
    </row>
    <row r="172" spans="1:16" ht="13.5" thickBot="1">
      <c r="A172" s="176"/>
      <c r="B172" s="302" t="s">
        <v>75</v>
      </c>
      <c r="C172" s="132">
        <f>SUM(C170:C171)</f>
        <v>12000</v>
      </c>
      <c r="D172" s="208">
        <f>SUM(D170:D170)</f>
        <v>0</v>
      </c>
      <c r="E172" s="143">
        <f>SUM(E170:E170)</f>
        <v>0</v>
      </c>
      <c r="F172" s="143">
        <f>SUM(F170:F170)</f>
        <v>5000</v>
      </c>
      <c r="G172" s="143">
        <v>7000</v>
      </c>
      <c r="H172" s="144">
        <f>+SUM(H170:H171)</f>
        <v>12000</v>
      </c>
      <c r="I172" s="190">
        <f>SUM(I170:I171)</f>
        <v>10000</v>
      </c>
      <c r="J172" s="190">
        <f>SUM(J170:J171)</f>
        <v>2000</v>
      </c>
      <c r="L172" s="332">
        <f>L170+L171</f>
        <v>0</v>
      </c>
      <c r="M172" s="332">
        <f>M170+M171</f>
        <v>0</v>
      </c>
      <c r="N172" s="328">
        <f t="shared" si="24"/>
        <v>0</v>
      </c>
      <c r="O172" s="354">
        <f>SUM(O170:O171)</f>
        <v>0</v>
      </c>
      <c r="P172" s="356"/>
    </row>
    <row r="173" spans="1:16" ht="15">
      <c r="A173" s="53"/>
      <c r="B173" s="304"/>
      <c r="C173" s="180"/>
      <c r="D173" s="246"/>
      <c r="E173" s="183"/>
      <c r="F173" s="183"/>
      <c r="G173" s="183"/>
      <c r="H173" s="184"/>
      <c r="I173" s="145"/>
      <c r="J173" s="145"/>
      <c r="L173" s="330"/>
      <c r="M173" s="330"/>
      <c r="N173" s="328"/>
      <c r="O173" s="354"/>
      <c r="P173" s="356"/>
    </row>
    <row r="174" spans="1:16" ht="15">
      <c r="A174" s="152">
        <v>4.12</v>
      </c>
      <c r="B174" s="662" t="s">
        <v>273</v>
      </c>
      <c r="C174" s="663"/>
      <c r="D174" s="663"/>
      <c r="E174" s="663"/>
      <c r="F174" s="663"/>
      <c r="G174" s="663"/>
      <c r="H174" s="664"/>
      <c r="I174" s="145"/>
      <c r="J174" s="145"/>
      <c r="L174" s="328"/>
      <c r="M174" s="328"/>
      <c r="N174" s="328"/>
      <c r="O174" s="354"/>
      <c r="P174" s="356"/>
    </row>
    <row r="175" spans="1:16" ht="36.75">
      <c r="A175" s="174" t="s">
        <v>274</v>
      </c>
      <c r="B175" s="295" t="s">
        <v>275</v>
      </c>
      <c r="C175" s="193">
        <v>10000</v>
      </c>
      <c r="D175" s="202">
        <v>0</v>
      </c>
      <c r="E175" s="202">
        <v>5000</v>
      </c>
      <c r="F175" s="202">
        <v>5000</v>
      </c>
      <c r="G175" s="202">
        <v>0</v>
      </c>
      <c r="H175" s="195">
        <f>SUM(D175:G175)</f>
        <v>10000</v>
      </c>
      <c r="I175" s="187">
        <v>10000</v>
      </c>
      <c r="J175" s="187">
        <v>0</v>
      </c>
      <c r="L175" s="328"/>
      <c r="M175" s="328"/>
      <c r="N175" s="328">
        <f t="shared" si="24"/>
        <v>0</v>
      </c>
      <c r="O175" s="422">
        <f>101.45*(D175+E175)-N175</f>
        <v>507250</v>
      </c>
      <c r="P175" s="356"/>
    </row>
    <row r="176" spans="1:16" ht="19.5" thickBot="1">
      <c r="A176" s="174" t="s">
        <v>276</v>
      </c>
      <c r="B176" s="295" t="s">
        <v>277</v>
      </c>
      <c r="C176" s="193">
        <v>3200</v>
      </c>
      <c r="D176" s="202"/>
      <c r="E176" s="202">
        <v>1200</v>
      </c>
      <c r="F176" s="202">
        <v>2000</v>
      </c>
      <c r="G176" s="202">
        <v>0</v>
      </c>
      <c r="H176" s="216">
        <v>3200</v>
      </c>
      <c r="I176" s="187">
        <v>0</v>
      </c>
      <c r="J176" s="187">
        <v>3200</v>
      </c>
      <c r="L176" s="331"/>
      <c r="M176" s="331"/>
      <c r="N176" s="328">
        <f t="shared" si="24"/>
        <v>0</v>
      </c>
      <c r="O176" s="422">
        <f>101.45*(D176+E176)-N176</f>
        <v>121740</v>
      </c>
      <c r="P176" s="356"/>
    </row>
    <row r="177" spans="1:16" ht="13.5" thickBot="1">
      <c r="A177" s="176"/>
      <c r="B177" s="302" t="s">
        <v>75</v>
      </c>
      <c r="C177" s="132">
        <f>SUM(C175:C176)</f>
        <v>13200</v>
      </c>
      <c r="D177" s="208">
        <f>SUM(D175:D175)</f>
        <v>0</v>
      </c>
      <c r="E177" s="143">
        <f>SUM(E175:E176)</f>
        <v>6200</v>
      </c>
      <c r="F177" s="143">
        <f>SUM(F175:F176)</f>
        <v>7000</v>
      </c>
      <c r="G177" s="143">
        <v>0</v>
      </c>
      <c r="H177" s="144">
        <f>SUM(H175:H176)</f>
        <v>13200</v>
      </c>
      <c r="I177" s="190">
        <f>SUM(I175:I176)</f>
        <v>10000</v>
      </c>
      <c r="J177" s="190">
        <f>SUM(J175:J176)</f>
        <v>3200</v>
      </c>
      <c r="L177" s="332">
        <f>L175+L176</f>
        <v>0</v>
      </c>
      <c r="M177" s="332">
        <f>M175+M176</f>
        <v>0</v>
      </c>
      <c r="N177" s="328">
        <f t="shared" si="24"/>
        <v>0</v>
      </c>
      <c r="O177" s="354">
        <f>SUM(O175:O176)</f>
        <v>628990</v>
      </c>
      <c r="P177" s="356">
        <f>N177/(E177*101.45)</f>
        <v>0</v>
      </c>
    </row>
    <row r="178" spans="1:16" ht="15">
      <c r="A178" s="53"/>
      <c r="B178" s="304"/>
      <c r="C178" s="180"/>
      <c r="D178" s="246"/>
      <c r="E178" s="183"/>
      <c r="F178" s="183"/>
      <c r="G178" s="183"/>
      <c r="H178" s="184"/>
      <c r="I178" s="145"/>
      <c r="J178" s="145"/>
      <c r="L178" s="330"/>
      <c r="M178" s="330"/>
      <c r="N178" s="328"/>
      <c r="O178" s="354"/>
      <c r="P178" s="356"/>
    </row>
    <row r="179" spans="1:16" ht="15">
      <c r="A179" s="152">
        <v>4.14</v>
      </c>
      <c r="B179" s="662" t="s">
        <v>278</v>
      </c>
      <c r="C179" s="663"/>
      <c r="D179" s="663"/>
      <c r="E179" s="663"/>
      <c r="F179" s="663"/>
      <c r="G179" s="663"/>
      <c r="H179" s="664"/>
      <c r="I179" s="145"/>
      <c r="J179" s="145"/>
      <c r="L179" s="328"/>
      <c r="M179" s="328"/>
      <c r="N179" s="328"/>
      <c r="O179" s="354"/>
      <c r="P179" s="356"/>
    </row>
    <row r="180" spans="1:16" ht="12.75">
      <c r="A180" s="174" t="s">
        <v>279</v>
      </c>
      <c r="B180" s="295" t="s">
        <v>280</v>
      </c>
      <c r="C180" s="193">
        <v>0</v>
      </c>
      <c r="D180" s="202">
        <v>0</v>
      </c>
      <c r="E180" s="202">
        <v>0</v>
      </c>
      <c r="F180" s="202">
        <v>0</v>
      </c>
      <c r="G180" s="202">
        <v>0</v>
      </c>
      <c r="H180" s="195">
        <f>D180+E180+F180+G180</f>
        <v>0</v>
      </c>
      <c r="I180" s="187">
        <v>0</v>
      </c>
      <c r="J180" s="239">
        <v>0</v>
      </c>
      <c r="L180" s="328"/>
      <c r="M180" s="328"/>
      <c r="N180" s="328">
        <f t="shared" si="24"/>
        <v>0</v>
      </c>
      <c r="O180" s="422">
        <f>101.45*(D180+E180)-N180</f>
        <v>0</v>
      </c>
      <c r="P180" s="356"/>
    </row>
    <row r="181" spans="1:16" ht="12.75">
      <c r="A181" s="174" t="s">
        <v>281</v>
      </c>
      <c r="B181" s="295" t="s">
        <v>282</v>
      </c>
      <c r="C181" s="193">
        <v>0</v>
      </c>
      <c r="D181" s="202">
        <v>0</v>
      </c>
      <c r="E181" s="202">
        <v>0</v>
      </c>
      <c r="F181" s="202">
        <v>0</v>
      </c>
      <c r="G181" s="202">
        <v>0</v>
      </c>
      <c r="H181" s="195">
        <f>D181+E181+F181+G181</f>
        <v>0</v>
      </c>
      <c r="I181" s="187">
        <v>0</v>
      </c>
      <c r="J181" s="239">
        <v>0</v>
      </c>
      <c r="L181" s="328"/>
      <c r="M181" s="328"/>
      <c r="N181" s="328">
        <f t="shared" si="24"/>
        <v>0</v>
      </c>
      <c r="O181" s="422">
        <f>101.45*(D181+E181)-N181</f>
        <v>0</v>
      </c>
      <c r="P181" s="356"/>
    </row>
    <row r="182" spans="1:16" ht="12.75">
      <c r="A182" s="174" t="s">
        <v>283</v>
      </c>
      <c r="B182" s="295" t="s">
        <v>284</v>
      </c>
      <c r="C182" s="193">
        <v>2000</v>
      </c>
      <c r="D182" s="202">
        <v>0</v>
      </c>
      <c r="E182" s="202">
        <v>2000</v>
      </c>
      <c r="F182" s="202">
        <v>0</v>
      </c>
      <c r="G182" s="202">
        <v>0</v>
      </c>
      <c r="H182" s="195">
        <f>D182+E182+F182+G182</f>
        <v>2000</v>
      </c>
      <c r="I182" s="187">
        <v>6000</v>
      </c>
      <c r="J182" s="239">
        <v>0</v>
      </c>
      <c r="L182" s="328"/>
      <c r="M182" s="328"/>
      <c r="N182" s="328">
        <f t="shared" si="24"/>
        <v>0</v>
      </c>
      <c r="O182" s="422">
        <f>101.45*(D182+E182)-N182</f>
        <v>202900</v>
      </c>
      <c r="P182" s="356"/>
    </row>
    <row r="183" spans="1:16" ht="12.75">
      <c r="A183" s="174" t="s">
        <v>285</v>
      </c>
      <c r="B183" s="295" t="s">
        <v>286</v>
      </c>
      <c r="C183" s="193">
        <v>1500</v>
      </c>
      <c r="D183" s="202">
        <v>0</v>
      </c>
      <c r="E183" s="202">
        <v>500</v>
      </c>
      <c r="F183" s="202">
        <v>500</v>
      </c>
      <c r="G183" s="202">
        <v>500</v>
      </c>
      <c r="H183" s="195">
        <f>D183+E183+F183+G183</f>
        <v>1500</v>
      </c>
      <c r="I183" s="187">
        <v>1000</v>
      </c>
      <c r="J183" s="239">
        <v>0</v>
      </c>
      <c r="L183" s="328"/>
      <c r="M183" s="328"/>
      <c r="N183" s="328">
        <f t="shared" si="24"/>
        <v>0</v>
      </c>
      <c r="O183" s="422">
        <f>101.45*(D183+E183)-N183</f>
        <v>50725</v>
      </c>
      <c r="P183" s="356"/>
    </row>
    <row r="184" spans="1:16" ht="13.5" thickBot="1">
      <c r="A184" s="174" t="s">
        <v>287</v>
      </c>
      <c r="B184" s="295" t="s">
        <v>288</v>
      </c>
      <c r="C184" s="193">
        <v>6500</v>
      </c>
      <c r="D184" s="202">
        <v>0</v>
      </c>
      <c r="E184" s="202">
        <v>2000</v>
      </c>
      <c r="F184" s="202">
        <v>2500</v>
      </c>
      <c r="G184" s="202">
        <v>2000</v>
      </c>
      <c r="H184" s="195">
        <f>D184+E184+F184+G184</f>
        <v>6500</v>
      </c>
      <c r="I184" s="187">
        <v>3000</v>
      </c>
      <c r="J184" s="239">
        <v>0</v>
      </c>
      <c r="L184" s="331"/>
      <c r="M184" s="331"/>
      <c r="N184" s="328">
        <f t="shared" si="24"/>
        <v>0</v>
      </c>
      <c r="O184" s="422">
        <f>101.45*(D184+E184)-N184</f>
        <v>202900</v>
      </c>
      <c r="P184" s="356"/>
    </row>
    <row r="185" spans="1:16" ht="13.5" thickBot="1">
      <c r="A185" s="176"/>
      <c r="B185" s="302" t="s">
        <v>75</v>
      </c>
      <c r="C185" s="132">
        <f aca="true" t="shared" si="29" ref="C185:J185">SUM(C180:C184)</f>
        <v>10000</v>
      </c>
      <c r="D185" s="208">
        <f t="shared" si="29"/>
        <v>0</v>
      </c>
      <c r="E185" s="208">
        <f t="shared" si="29"/>
        <v>4500</v>
      </c>
      <c r="F185" s="143">
        <f t="shared" si="29"/>
        <v>3000</v>
      </c>
      <c r="G185" s="143">
        <f t="shared" si="29"/>
        <v>2500</v>
      </c>
      <c r="H185" s="144">
        <f t="shared" si="29"/>
        <v>10000</v>
      </c>
      <c r="I185" s="190">
        <f t="shared" si="29"/>
        <v>10000</v>
      </c>
      <c r="J185" s="253">
        <f t="shared" si="29"/>
        <v>0</v>
      </c>
      <c r="L185" s="332">
        <f>L180+L181+L182+L183+L184</f>
        <v>0</v>
      </c>
      <c r="M185" s="332">
        <f>M180+M181+M182+M183+M184</f>
        <v>0</v>
      </c>
      <c r="N185" s="426">
        <f t="shared" si="24"/>
        <v>0</v>
      </c>
      <c r="O185" s="427">
        <f>SUM(O180:O184)</f>
        <v>456525</v>
      </c>
      <c r="P185" s="356">
        <f>N185/(E185*101.45)</f>
        <v>0</v>
      </c>
    </row>
    <row r="186" spans="1:16" ht="15">
      <c r="A186" s="152">
        <v>4.16</v>
      </c>
      <c r="B186" s="662" t="s">
        <v>289</v>
      </c>
      <c r="C186" s="663"/>
      <c r="D186" s="663"/>
      <c r="E186" s="663"/>
      <c r="F186" s="663"/>
      <c r="G186" s="663"/>
      <c r="H186" s="664"/>
      <c r="I186" s="145"/>
      <c r="J186" s="145"/>
      <c r="M186" s="330"/>
      <c r="N186" s="330"/>
      <c r="O186" s="417"/>
      <c r="P186" s="356"/>
    </row>
    <row r="187" spans="1:16" ht="19.5" thickBot="1">
      <c r="A187" s="174" t="s">
        <v>290</v>
      </c>
      <c r="B187" s="295" t="s">
        <v>291</v>
      </c>
      <c r="C187" s="193">
        <v>74000</v>
      </c>
      <c r="D187" s="202">
        <v>0</v>
      </c>
      <c r="E187" s="202">
        <v>74000</v>
      </c>
      <c r="F187" s="202">
        <v>0</v>
      </c>
      <c r="G187" s="202">
        <v>0</v>
      </c>
      <c r="H187" s="195">
        <f>D187+E187+F187+G187</f>
        <v>74000</v>
      </c>
      <c r="I187" s="187">
        <v>74000</v>
      </c>
      <c r="J187" s="187">
        <v>0</v>
      </c>
      <c r="L187" s="331">
        <f>7400000</f>
        <v>7400000</v>
      </c>
      <c r="M187" s="331">
        <v>0</v>
      </c>
      <c r="N187" s="328">
        <f t="shared" si="24"/>
        <v>7400000</v>
      </c>
      <c r="O187" s="422">
        <f>101.45*(D187+E187)-N187</f>
        <v>107300</v>
      </c>
      <c r="P187" s="356"/>
    </row>
    <row r="188" spans="1:16" ht="13.5" thickBot="1">
      <c r="A188" s="176"/>
      <c r="B188" s="302" t="s">
        <v>75</v>
      </c>
      <c r="C188" s="132">
        <f aca="true" t="shared" si="30" ref="C188:H188">SUM(C187:C187)</f>
        <v>74000</v>
      </c>
      <c r="D188" s="208">
        <f t="shared" si="30"/>
        <v>0</v>
      </c>
      <c r="E188" s="143">
        <f t="shared" si="30"/>
        <v>74000</v>
      </c>
      <c r="F188" s="143">
        <f t="shared" si="30"/>
        <v>0</v>
      </c>
      <c r="G188" s="143">
        <f t="shared" si="30"/>
        <v>0</v>
      </c>
      <c r="H188" s="144">
        <f t="shared" si="30"/>
        <v>74000</v>
      </c>
      <c r="I188" s="190">
        <f>SUM(I187)</f>
        <v>74000</v>
      </c>
      <c r="J188" s="190">
        <f>SUM(J187)</f>
        <v>0</v>
      </c>
      <c r="L188" s="332">
        <f>L187</f>
        <v>7400000</v>
      </c>
      <c r="M188" s="332">
        <f>M187</f>
        <v>0</v>
      </c>
      <c r="N188" s="426">
        <f t="shared" si="24"/>
        <v>7400000</v>
      </c>
      <c r="O188" s="427">
        <f>SUM(O187)</f>
        <v>107300</v>
      </c>
      <c r="P188" s="356">
        <f>N188/(E188*101.45)</f>
        <v>0.9857072449482503</v>
      </c>
    </row>
    <row r="189" spans="1:16" ht="15">
      <c r="A189" s="53"/>
      <c r="B189" s="304"/>
      <c r="C189" s="180"/>
      <c r="D189" s="246"/>
      <c r="E189" s="183"/>
      <c r="F189" s="183"/>
      <c r="G189" s="183"/>
      <c r="H189" s="184"/>
      <c r="I189" s="145"/>
      <c r="J189" s="145"/>
      <c r="L189" s="330"/>
      <c r="M189" s="330"/>
      <c r="N189" s="330"/>
      <c r="O189" s="417"/>
      <c r="P189" s="356"/>
    </row>
    <row r="190" spans="1:16" ht="37.5" customHeight="1" thickBot="1">
      <c r="A190" s="254">
        <v>4.18</v>
      </c>
      <c r="B190" s="317" t="s">
        <v>292</v>
      </c>
      <c r="C190" s="224"/>
      <c r="D190" s="255"/>
      <c r="E190" s="256"/>
      <c r="F190" s="256"/>
      <c r="G190" s="256"/>
      <c r="H190" s="257"/>
      <c r="I190" s="145"/>
      <c r="J190" s="145"/>
      <c r="L190" s="328"/>
      <c r="M190" s="328"/>
      <c r="N190" s="328"/>
      <c r="O190" s="354"/>
      <c r="P190" s="356"/>
    </row>
    <row r="191" spans="1:16" ht="18.75">
      <c r="A191" s="258" t="s">
        <v>293</v>
      </c>
      <c r="B191" s="318" t="s">
        <v>294</v>
      </c>
      <c r="C191" s="259">
        <v>5000</v>
      </c>
      <c r="D191" s="260">
        <v>0</v>
      </c>
      <c r="E191" s="261">
        <v>4000</v>
      </c>
      <c r="F191" s="261">
        <v>1000</v>
      </c>
      <c r="G191" s="261">
        <v>0</v>
      </c>
      <c r="H191" s="262">
        <v>5000</v>
      </c>
      <c r="I191" s="187">
        <v>5000</v>
      </c>
      <c r="J191" s="187">
        <v>0</v>
      </c>
      <c r="L191" s="343">
        <f>370200</f>
        <v>370200</v>
      </c>
      <c r="M191" s="331"/>
      <c r="N191" s="328">
        <f t="shared" si="24"/>
        <v>370200</v>
      </c>
      <c r="O191" s="422">
        <f>101.45*(D191+E191)-N191</f>
        <v>35600</v>
      </c>
      <c r="P191" s="356"/>
    </row>
    <row r="192" spans="1:16" ht="13.5" thickBot="1">
      <c r="A192" s="254"/>
      <c r="B192" s="319" t="s">
        <v>75</v>
      </c>
      <c r="C192" s="259">
        <f aca="true" t="shared" si="31" ref="C192:I192">SUM(C191)</f>
        <v>5000</v>
      </c>
      <c r="D192" s="263">
        <f t="shared" si="31"/>
        <v>0</v>
      </c>
      <c r="E192" s="263">
        <f t="shared" si="31"/>
        <v>4000</v>
      </c>
      <c r="F192" s="263">
        <f t="shared" si="31"/>
        <v>1000</v>
      </c>
      <c r="G192" s="263">
        <f t="shared" si="31"/>
        <v>0</v>
      </c>
      <c r="H192" s="259">
        <f t="shared" si="31"/>
        <v>5000</v>
      </c>
      <c r="I192" s="190">
        <f t="shared" si="31"/>
        <v>5000</v>
      </c>
      <c r="J192" s="187">
        <v>0</v>
      </c>
      <c r="L192" s="344">
        <f>SUM(L191)</f>
        <v>370200</v>
      </c>
      <c r="M192" s="344">
        <f>SUM(M191)</f>
        <v>0</v>
      </c>
      <c r="N192" s="426">
        <f t="shared" si="24"/>
        <v>370200</v>
      </c>
      <c r="O192" s="427">
        <f>SUM(O191)</f>
        <v>35600</v>
      </c>
      <c r="P192" s="356">
        <f>N192/(E192*101.45)</f>
        <v>0.9122720551996057</v>
      </c>
    </row>
    <row r="193" spans="1:16" ht="12.75">
      <c r="A193" s="258"/>
      <c r="B193" s="319"/>
      <c r="C193" s="132"/>
      <c r="D193" s="217"/>
      <c r="E193" s="217"/>
      <c r="F193" s="217"/>
      <c r="G193" s="217"/>
      <c r="H193" s="132"/>
      <c r="I193" s="228"/>
      <c r="J193" s="221"/>
      <c r="L193" s="340"/>
      <c r="M193" s="340"/>
      <c r="N193" s="330"/>
      <c r="O193" s="417"/>
      <c r="P193" s="356"/>
    </row>
    <row r="194" spans="1:16" ht="12.75">
      <c r="A194" s="264"/>
      <c r="B194" s="320" t="s">
        <v>295</v>
      </c>
      <c r="C194" s="235">
        <f aca="true" t="shared" si="32" ref="C194:H194">C142+C148+C154+C158+C163+C167+C172+C177+C185+C188+C192</f>
        <v>533356</v>
      </c>
      <c r="D194" s="235">
        <f t="shared" si="32"/>
        <v>1000</v>
      </c>
      <c r="E194" s="217">
        <f t="shared" si="32"/>
        <v>449356</v>
      </c>
      <c r="F194" s="235">
        <f t="shared" si="32"/>
        <v>49500</v>
      </c>
      <c r="G194" s="235">
        <f t="shared" si="32"/>
        <v>23500</v>
      </c>
      <c r="H194" s="235">
        <f t="shared" si="32"/>
        <v>533356</v>
      </c>
      <c r="I194" s="228"/>
      <c r="J194" s="221"/>
      <c r="L194" s="235">
        <f>L142+L148+L154+L158+L163+L167+L172+L177+L185+L188+L192</f>
        <v>8442744</v>
      </c>
      <c r="M194" s="235">
        <f>M142+M148+M154+M158+M163+M167+M172+M177+M185+M188+M192</f>
        <v>554140</v>
      </c>
      <c r="N194" s="235">
        <f>N142+N148+N154+N158+N163+N167+N172+N177+N185+N188+N192</f>
        <v>8996884</v>
      </c>
      <c r="O194" s="235">
        <f>O142+O148+O154+O158+O163+O167+O172+O177+O185+O188+O192</f>
        <v>36691732.2</v>
      </c>
      <c r="P194" s="356">
        <f>N194/(E194*101.45)</f>
        <v>0.1973556320769945</v>
      </c>
    </row>
    <row r="195" spans="1:16" ht="15">
      <c r="A195" s="135">
        <v>6</v>
      </c>
      <c r="B195" s="662" t="s">
        <v>296</v>
      </c>
      <c r="C195" s="663"/>
      <c r="D195" s="663"/>
      <c r="E195" s="663"/>
      <c r="F195" s="663"/>
      <c r="G195" s="663"/>
      <c r="H195" s="664"/>
      <c r="I195" s="145"/>
      <c r="J195" s="145"/>
      <c r="L195" s="330"/>
      <c r="M195" s="330"/>
      <c r="N195" s="328"/>
      <c r="O195" s="354"/>
      <c r="P195" s="356"/>
    </row>
    <row r="196" spans="1:16" ht="12.75">
      <c r="A196" s="174" t="s">
        <v>297</v>
      </c>
      <c r="B196" s="295" t="s">
        <v>298</v>
      </c>
      <c r="C196" s="193">
        <v>0</v>
      </c>
      <c r="D196" s="202">
        <v>0</v>
      </c>
      <c r="E196" s="202">
        <v>0</v>
      </c>
      <c r="F196" s="202">
        <v>0</v>
      </c>
      <c r="G196" s="202">
        <v>0</v>
      </c>
      <c r="H196" s="195">
        <f>D196+E196+F196+G196</f>
        <v>0</v>
      </c>
      <c r="I196" s="187">
        <v>0</v>
      </c>
      <c r="J196" s="239">
        <v>0</v>
      </c>
      <c r="L196" s="328"/>
      <c r="M196" s="328"/>
      <c r="N196" s="328">
        <f t="shared" si="24"/>
        <v>0</v>
      </c>
      <c r="O196" s="422">
        <f>101.45*(D196+E196)-N196</f>
        <v>0</v>
      </c>
      <c r="P196" s="356"/>
    </row>
    <row r="197" spans="1:16" ht="12.75">
      <c r="A197" s="174" t="s">
        <v>299</v>
      </c>
      <c r="B197" s="295" t="s">
        <v>300</v>
      </c>
      <c r="C197" s="193">
        <v>500</v>
      </c>
      <c r="D197" s="202">
        <v>0</v>
      </c>
      <c r="E197" s="202">
        <v>0</v>
      </c>
      <c r="F197" s="202">
        <v>0</v>
      </c>
      <c r="G197" s="202">
        <v>500</v>
      </c>
      <c r="H197" s="216">
        <f>D197+E197+F197+G197</f>
        <v>500</v>
      </c>
      <c r="I197" s="187">
        <v>500</v>
      </c>
      <c r="J197" s="239">
        <v>0</v>
      </c>
      <c r="L197" s="328"/>
      <c r="M197" s="328"/>
      <c r="N197" s="328">
        <f t="shared" si="24"/>
        <v>0</v>
      </c>
      <c r="O197" s="422">
        <f>101.45*(D197+E197)-N197</f>
        <v>0</v>
      </c>
      <c r="P197" s="356"/>
    </row>
    <row r="198" spans="1:16" ht="12.75">
      <c r="A198" s="174" t="s">
        <v>301</v>
      </c>
      <c r="B198" s="295" t="s">
        <v>302</v>
      </c>
      <c r="C198" s="193">
        <v>0</v>
      </c>
      <c r="D198" s="202">
        <v>0</v>
      </c>
      <c r="E198" s="202">
        <v>0</v>
      </c>
      <c r="F198" s="202">
        <v>0</v>
      </c>
      <c r="G198" s="202">
        <v>0</v>
      </c>
      <c r="H198" s="216">
        <v>0</v>
      </c>
      <c r="I198" s="187">
        <v>0</v>
      </c>
      <c r="J198" s="239">
        <v>0</v>
      </c>
      <c r="L198" s="328"/>
      <c r="M198" s="328"/>
      <c r="N198" s="328">
        <f t="shared" si="24"/>
        <v>0</v>
      </c>
      <c r="O198" s="422">
        <f>101.45*(D198+E198)-N198</f>
        <v>0</v>
      </c>
      <c r="P198" s="356"/>
    </row>
    <row r="199" spans="1:16" ht="13.5" thickBot="1">
      <c r="A199" s="174" t="s">
        <v>303</v>
      </c>
      <c r="B199" s="295" t="s">
        <v>304</v>
      </c>
      <c r="C199" s="193">
        <v>0</v>
      </c>
      <c r="D199" s="202">
        <v>0</v>
      </c>
      <c r="E199" s="202">
        <v>0</v>
      </c>
      <c r="F199" s="202">
        <v>0</v>
      </c>
      <c r="G199" s="202">
        <v>0</v>
      </c>
      <c r="H199" s="216">
        <f>D199+E199+F199+G199</f>
        <v>0</v>
      </c>
      <c r="I199" s="187">
        <v>0</v>
      </c>
      <c r="J199" s="239">
        <v>0</v>
      </c>
      <c r="L199" s="331"/>
      <c r="M199" s="331"/>
      <c r="N199" s="328">
        <f t="shared" si="24"/>
        <v>0</v>
      </c>
      <c r="O199" s="422">
        <f>101.45*(D199+E199)-N199</f>
        <v>0</v>
      </c>
      <c r="P199" s="356"/>
    </row>
    <row r="200" spans="1:16" ht="13.5" thickBot="1">
      <c r="A200" s="265"/>
      <c r="B200" s="305" t="s">
        <v>305</v>
      </c>
      <c r="C200" s="235">
        <f aca="true" t="shared" si="33" ref="C200:H200">SUM(C196:C199)</f>
        <v>500</v>
      </c>
      <c r="D200" s="266">
        <f t="shared" si="33"/>
        <v>0</v>
      </c>
      <c r="E200" s="143">
        <f t="shared" si="33"/>
        <v>0</v>
      </c>
      <c r="F200" s="267">
        <f t="shared" si="33"/>
        <v>0</v>
      </c>
      <c r="G200" s="267">
        <f t="shared" si="33"/>
        <v>500</v>
      </c>
      <c r="H200" s="268">
        <f t="shared" si="33"/>
        <v>500</v>
      </c>
      <c r="I200" s="190">
        <f>SUM(I196:I199)</f>
        <v>500</v>
      </c>
      <c r="J200" s="239">
        <v>0</v>
      </c>
      <c r="L200" s="332">
        <f>L196+L197+L198+L199</f>
        <v>0</v>
      </c>
      <c r="M200" s="332">
        <f>M196+M197+M198+M199</f>
        <v>0</v>
      </c>
      <c r="N200" s="426">
        <f t="shared" si="24"/>
        <v>0</v>
      </c>
      <c r="O200" s="427">
        <f>SUM(O196:O199)</f>
        <v>0</v>
      </c>
      <c r="P200" s="356"/>
    </row>
    <row r="201" spans="1:16" ht="15">
      <c r="A201" s="135">
        <v>7</v>
      </c>
      <c r="B201" s="662" t="s">
        <v>306</v>
      </c>
      <c r="C201" s="663"/>
      <c r="D201" s="663"/>
      <c r="E201" s="663"/>
      <c r="F201" s="663"/>
      <c r="G201" s="663"/>
      <c r="H201" s="664"/>
      <c r="I201" s="145"/>
      <c r="J201" s="145"/>
      <c r="L201" s="330"/>
      <c r="M201" s="330"/>
      <c r="N201" s="330"/>
      <c r="O201" s="417"/>
      <c r="P201" s="356"/>
    </row>
    <row r="202" spans="1:16" ht="12.75">
      <c r="A202" s="174" t="s">
        <v>307</v>
      </c>
      <c r="B202" s="295" t="s">
        <v>308</v>
      </c>
      <c r="C202" s="193">
        <v>500</v>
      </c>
      <c r="D202" s="202">
        <v>0</v>
      </c>
      <c r="E202" s="202">
        <v>0</v>
      </c>
      <c r="F202" s="202">
        <v>0</v>
      </c>
      <c r="G202" s="202">
        <v>500</v>
      </c>
      <c r="H202" s="195">
        <f>D202+E202+F202+G202</f>
        <v>500</v>
      </c>
      <c r="I202" s="187">
        <v>500</v>
      </c>
      <c r="J202" s="187">
        <v>0</v>
      </c>
      <c r="L202" s="328"/>
      <c r="M202" s="328"/>
      <c r="N202" s="328">
        <f t="shared" si="24"/>
        <v>0</v>
      </c>
      <c r="O202" s="422">
        <f>101.45*(D202+E202)-N202</f>
        <v>0</v>
      </c>
      <c r="P202" s="356"/>
    </row>
    <row r="203" spans="1:16" ht="13.5" thickBot="1">
      <c r="A203" s="174" t="s">
        <v>309</v>
      </c>
      <c r="B203" s="295" t="s">
        <v>310</v>
      </c>
      <c r="C203" s="193">
        <v>0</v>
      </c>
      <c r="D203" s="202">
        <v>0</v>
      </c>
      <c r="E203" s="202">
        <v>0</v>
      </c>
      <c r="F203" s="202">
        <v>0</v>
      </c>
      <c r="G203" s="202">
        <v>0</v>
      </c>
      <c r="H203" s="216">
        <f>D203+E203+F203+G203</f>
        <v>0</v>
      </c>
      <c r="I203" s="187">
        <v>0</v>
      </c>
      <c r="J203" s="187">
        <v>0</v>
      </c>
      <c r="L203" s="331"/>
      <c r="M203" s="331"/>
      <c r="N203" s="328">
        <f t="shared" si="24"/>
        <v>0</v>
      </c>
      <c r="O203" s="422">
        <f>101.45*(D203+E203)-N203</f>
        <v>0</v>
      </c>
      <c r="P203" s="356"/>
    </row>
    <row r="204" spans="1:16" ht="13.5" thickBot="1">
      <c r="A204" s="265"/>
      <c r="B204" s="305" t="s">
        <v>311</v>
      </c>
      <c r="C204" s="235">
        <f aca="true" t="shared" si="34" ref="C204:H204">SUM(C202:C203)</f>
        <v>500</v>
      </c>
      <c r="D204" s="266">
        <f t="shared" si="34"/>
        <v>0</v>
      </c>
      <c r="E204" s="143">
        <f t="shared" si="34"/>
        <v>0</v>
      </c>
      <c r="F204" s="267">
        <f t="shared" si="34"/>
        <v>0</v>
      </c>
      <c r="G204" s="267">
        <f t="shared" si="34"/>
        <v>500</v>
      </c>
      <c r="H204" s="268">
        <f t="shared" si="34"/>
        <v>500</v>
      </c>
      <c r="I204" s="190">
        <f>SUM(I202:I203)</f>
        <v>500</v>
      </c>
      <c r="J204" s="187">
        <v>0</v>
      </c>
      <c r="L204" s="332">
        <f>L202+L203</f>
        <v>0</v>
      </c>
      <c r="M204" s="332">
        <f>M202+M203</f>
        <v>0</v>
      </c>
      <c r="N204" s="328">
        <f>L204+M204</f>
        <v>0</v>
      </c>
      <c r="O204" s="354">
        <f>SUM(O202:O203)</f>
        <v>0</v>
      </c>
      <c r="P204" s="356"/>
    </row>
    <row r="205" spans="1:16" ht="13.5" thickBot="1">
      <c r="A205" s="53"/>
      <c r="B205" s="302"/>
      <c r="C205" s="132"/>
      <c r="D205" s="208"/>
      <c r="E205" s="143"/>
      <c r="F205" s="143"/>
      <c r="G205" s="143"/>
      <c r="H205" s="144"/>
      <c r="I205" s="190"/>
      <c r="J205" s="187"/>
      <c r="L205" s="340"/>
      <c r="M205" s="340"/>
      <c r="N205" s="328"/>
      <c r="O205" s="354"/>
      <c r="P205" s="356"/>
    </row>
    <row r="206" spans="1:16" ht="13.5" thickBot="1">
      <c r="A206" s="53"/>
      <c r="B206" s="316" t="s">
        <v>318</v>
      </c>
      <c r="C206" s="269">
        <f>C11+C15+C18+C22+C28+C32+C35+C38+C44+C47+C53+C58+C68+C74+C78+C90+C96+C111+C142+C154+C163+C167+C172+C177+C185+C188+C192+C200+C204+C83+C158+C100+C105+C148</f>
        <v>1098831</v>
      </c>
      <c r="D206" s="208">
        <f>D11+D15+D18+D22+D28+D32+D35+D38+D44+D47+D53+D58+D68+D74+D78+D90+D96+D111+D142+D154+D163+D167+D172+D177+D185+D188+D192+D200+D204</f>
        <v>32750</v>
      </c>
      <c r="E206" s="208">
        <f>E11+E15+E18+E22+E28+E32+E35+E38+E44+E47+E53+E58+E68+E74+E78+E90+E96+E111+E142+E154+E163+E167+E172+E177+E185+E188+E192+E200+E204</f>
        <v>762456</v>
      </c>
      <c r="F206" s="208">
        <f>F11+F15+F18+F22+F28+F32+F35+F38+F44+F47+F53+F58+F68+F74+F78+F90+F96+F111+F142+F154+F163+F167+F172+F177+F185+F188+F192+F200+F204</f>
        <v>165175</v>
      </c>
      <c r="G206" s="208">
        <f>G11+G15+G18+G22+G28+G32+G35+G38+G44+G47+G53+G58+G68+G74+G78+G90+G96+G111+G142+G154+G163+G167+G172+G177+G185+G188+G192+G200+G204</f>
        <v>85950</v>
      </c>
      <c r="H206" s="270">
        <f>H11+H15+H18+H22+H28+H32+H35+H38+H44+H47+H53+H58+H68+H74+H78+H83+H90+H96+H111+H142+H154+H163+H167+H172+H177+H185+H188+H192+H200+H204+H158+H100+H105+H148</f>
        <v>1098831</v>
      </c>
      <c r="I206" s="211">
        <f>SUM(I204+I200+I192+I188+I185+I177+I172+I167+I163+I158+I154+I142+I111+I96+I90+I83+I78+I74+I68+I58+I53+I47+I44+I38+I35+I32+I28+I22+I18+I15+I11+I148+I105+I100)</f>
        <v>931381</v>
      </c>
      <c r="J206" s="211">
        <f>SUM(J204+J200+J192+J188+J185+J177+J172+J167+J163+J158+J154+J142+J111+J96+J90+J83+J78+J74+J68+J58+J53+J47+J44+J38+J35+J32+J28+J22+J18+J15+J11+J105+J100)</f>
        <v>167450</v>
      </c>
      <c r="L206" s="332">
        <f>L40+L92+L113+L194+L200+L204</f>
        <v>19349557</v>
      </c>
      <c r="M206" s="332">
        <f>M40+M92+M113+M194+M200+M204</f>
        <v>554140</v>
      </c>
      <c r="N206" s="332">
        <f>N40+N92+N113+N194+N200+N204</f>
        <v>19903697</v>
      </c>
      <c r="O206" s="332">
        <f>O40+O92+O113+O194+O200+O204</f>
        <v>62697501.7</v>
      </c>
      <c r="P206" s="356">
        <f>N206/(E206*101.45)</f>
        <v>0.25731607245735827</v>
      </c>
    </row>
    <row r="207" spans="1:16" ht="15">
      <c r="A207" s="176"/>
      <c r="B207" s="316" t="s">
        <v>313</v>
      </c>
      <c r="C207" s="269">
        <f aca="true" t="shared" si="35" ref="C207:H207">0.01*C206</f>
        <v>10988.31</v>
      </c>
      <c r="D207" s="208">
        <f t="shared" si="35"/>
        <v>327.5</v>
      </c>
      <c r="E207" s="208">
        <f t="shared" si="35"/>
        <v>7624.56</v>
      </c>
      <c r="F207" s="208">
        <f t="shared" si="35"/>
        <v>1651.75</v>
      </c>
      <c r="G207" s="208">
        <f t="shared" si="35"/>
        <v>859.5</v>
      </c>
      <c r="H207" s="271">
        <f t="shared" si="35"/>
        <v>10988.31</v>
      </c>
      <c r="I207" s="145"/>
      <c r="J207" s="145"/>
      <c r="L207" s="330"/>
      <c r="M207" s="330"/>
      <c r="N207" s="330"/>
      <c r="O207" s="417"/>
      <c r="P207" s="327"/>
    </row>
    <row r="208" spans="1:16" ht="15">
      <c r="A208" s="176"/>
      <c r="B208" s="316" t="s">
        <v>312</v>
      </c>
      <c r="C208" s="269">
        <f aca="true" t="shared" si="36" ref="C208:H208">C206+C207</f>
        <v>1109819.31</v>
      </c>
      <c r="D208" s="208">
        <f t="shared" si="36"/>
        <v>33077.5</v>
      </c>
      <c r="E208" s="208">
        <f t="shared" si="36"/>
        <v>770080.56</v>
      </c>
      <c r="F208" s="208">
        <f t="shared" si="36"/>
        <v>166826.75</v>
      </c>
      <c r="G208" s="208">
        <f t="shared" si="36"/>
        <v>86809.5</v>
      </c>
      <c r="H208" s="271">
        <f t="shared" si="36"/>
        <v>1109819.31</v>
      </c>
      <c r="I208" s="145"/>
      <c r="J208" s="145"/>
      <c r="L208" s="342"/>
      <c r="M208" s="342"/>
      <c r="N208" s="342"/>
      <c r="O208" s="362"/>
      <c r="P208" s="327"/>
    </row>
    <row r="209" spans="1:15" ht="15">
      <c r="A209" s="53"/>
      <c r="B209" s="315"/>
      <c r="C209" s="272"/>
      <c r="D209" s="246"/>
      <c r="E209" s="246"/>
      <c r="F209" s="246"/>
      <c r="G209" s="246"/>
      <c r="H209" s="273"/>
      <c r="I209" s="145"/>
      <c r="J209" s="274"/>
      <c r="L209" s="326"/>
      <c r="M209" s="326"/>
      <c r="O209" s="361"/>
    </row>
    <row r="210" spans="1:15" ht="28.5">
      <c r="A210" s="128"/>
      <c r="B210" s="304" t="s">
        <v>314</v>
      </c>
      <c r="C210" s="67"/>
      <c r="D210" s="249"/>
      <c r="E210" s="181"/>
      <c r="F210" s="249"/>
      <c r="G210" s="275"/>
      <c r="H210" s="276"/>
      <c r="I210" s="145"/>
      <c r="J210" s="145"/>
      <c r="O210" s="361"/>
    </row>
    <row r="211" spans="1:15" ht="15">
      <c r="A211" s="128"/>
      <c r="B211" s="321"/>
      <c r="C211" s="159"/>
      <c r="D211" s="249"/>
      <c r="E211" s="275"/>
      <c r="F211" s="249"/>
      <c r="G211" s="275"/>
      <c r="H211" s="277"/>
      <c r="I211" s="145"/>
      <c r="J211" s="145"/>
      <c r="N211" s="351"/>
      <c r="O211" s="361"/>
    </row>
    <row r="212" spans="1:15" ht="15">
      <c r="A212" s="53"/>
      <c r="B212" s="315"/>
      <c r="C212" s="54"/>
      <c r="D212" s="181"/>
      <c r="E212" s="181"/>
      <c r="F212" s="181"/>
      <c r="G212" s="275"/>
      <c r="H212" s="278"/>
      <c r="I212" s="145"/>
      <c r="J212" s="145"/>
      <c r="O212" s="361"/>
    </row>
    <row r="213" spans="1:15" ht="19.5">
      <c r="A213" s="279"/>
      <c r="B213" s="304" t="s">
        <v>315</v>
      </c>
      <c r="C213" s="280"/>
      <c r="D213" s="281"/>
      <c r="E213" s="181" t="s">
        <v>316</v>
      </c>
      <c r="F213" s="281"/>
      <c r="G213" s="275"/>
      <c r="H213" s="276"/>
      <c r="I213" s="145"/>
      <c r="J213" s="145"/>
      <c r="L213" s="346"/>
      <c r="M213" s="41"/>
      <c r="O213" s="361"/>
    </row>
    <row r="214" spans="1:15" ht="15">
      <c r="A214" s="279"/>
      <c r="B214" s="321"/>
      <c r="C214" s="159"/>
      <c r="D214" s="249"/>
      <c r="E214" s="275"/>
      <c r="F214" s="249"/>
      <c r="G214" s="275"/>
      <c r="H214" s="276"/>
      <c r="I214" s="145"/>
      <c r="J214" s="145"/>
      <c r="L214" s="346"/>
      <c r="M214" s="41"/>
      <c r="O214" s="361"/>
    </row>
    <row r="215" spans="1:15" ht="15">
      <c r="A215" s="279"/>
      <c r="B215" s="322"/>
      <c r="C215" s="280"/>
      <c r="D215" s="281"/>
      <c r="E215" s="281"/>
      <c r="F215" s="281"/>
      <c r="G215" s="275"/>
      <c r="H215" s="276"/>
      <c r="I215" s="145"/>
      <c r="J215" s="145"/>
      <c r="O215" s="4"/>
    </row>
    <row r="216" spans="1:14" ht="28.5">
      <c r="A216" s="279"/>
      <c r="B216" s="304" t="s">
        <v>317</v>
      </c>
      <c r="C216" s="280"/>
      <c r="D216" s="281"/>
      <c r="E216" s="181" t="s">
        <v>316</v>
      </c>
      <c r="F216" s="281"/>
      <c r="G216" s="275"/>
      <c r="H216" s="276"/>
      <c r="I216" s="145"/>
      <c r="J216" s="145"/>
      <c r="M216" s="42"/>
      <c r="N216" s="351"/>
    </row>
    <row r="217" spans="1:10" ht="15.75" thickBot="1">
      <c r="A217" s="282"/>
      <c r="B217" s="323"/>
      <c r="C217" s="283"/>
      <c r="D217" s="284"/>
      <c r="E217" s="284"/>
      <c r="F217" s="284"/>
      <c r="G217" s="285"/>
      <c r="H217" s="286"/>
      <c r="I217" s="145"/>
      <c r="J217" s="145"/>
    </row>
    <row r="218" spans="1:10" ht="12.75">
      <c r="A218" s="287"/>
      <c r="B218" s="324"/>
      <c r="C218" s="288"/>
      <c r="D218" s="289"/>
      <c r="E218" s="289"/>
      <c r="F218" s="289"/>
      <c r="G218" s="289"/>
      <c r="H218" s="290"/>
      <c r="I218" s="45"/>
      <c r="J218" s="45"/>
    </row>
    <row r="222" spans="2:3" ht="12.75">
      <c r="B222" s="32" t="s">
        <v>41</v>
      </c>
      <c r="C222" s="345"/>
    </row>
    <row r="224" spans="2:3" ht="12.75">
      <c r="B224" s="32" t="s">
        <v>42</v>
      </c>
      <c r="C224" s="345"/>
    </row>
  </sheetData>
  <sheetProtection/>
  <mergeCells count="33">
    <mergeCell ref="B1:H1"/>
    <mergeCell ref="A2:H2"/>
    <mergeCell ref="A3:H3"/>
    <mergeCell ref="H4:H6"/>
    <mergeCell ref="I5:I6"/>
    <mergeCell ref="J5:J6"/>
    <mergeCell ref="B41:H41"/>
    <mergeCell ref="B45:H45"/>
    <mergeCell ref="B49:H49"/>
    <mergeCell ref="B69:H69"/>
    <mergeCell ref="B19:H19"/>
    <mergeCell ref="I19:J19"/>
    <mergeCell ref="B23:J23"/>
    <mergeCell ref="B29:H29"/>
    <mergeCell ref="I29:J29"/>
    <mergeCell ref="B33:H33"/>
    <mergeCell ref="B174:H174"/>
    <mergeCell ref="B75:H75"/>
    <mergeCell ref="B80:H80"/>
    <mergeCell ref="I80:J80"/>
    <mergeCell ref="B85:H85"/>
    <mergeCell ref="B93:H93"/>
    <mergeCell ref="B107:H107"/>
    <mergeCell ref="L5:O5"/>
    <mergeCell ref="B179:H179"/>
    <mergeCell ref="B186:H186"/>
    <mergeCell ref="B195:H195"/>
    <mergeCell ref="B201:H201"/>
    <mergeCell ref="B114:H114"/>
    <mergeCell ref="B150:H150"/>
    <mergeCell ref="B160:H160"/>
    <mergeCell ref="B165:H165"/>
    <mergeCell ref="B169:H169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TANROADS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ICT directorate</cp:lastModifiedBy>
  <cp:lastPrinted>2018-02-14T10:30:53Z</cp:lastPrinted>
  <dcterms:created xsi:type="dcterms:W3CDTF">2007-11-21T06:38:14Z</dcterms:created>
  <dcterms:modified xsi:type="dcterms:W3CDTF">2018-07-26T06:50:44Z</dcterms:modified>
  <cp:category/>
  <cp:version/>
  <cp:contentType/>
  <cp:contentStatus/>
</cp:coreProperties>
</file>