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030" activeTab="0"/>
  </bookViews>
  <sheets>
    <sheet name="Sources and Uses of Funds KSH" sheetId="1" r:id="rId1"/>
    <sheet name="Sources and Uses of Funds $" sheetId="2" r:id="rId2"/>
    <sheet name="Activities" sheetId="3" r:id="rId3"/>
    <sheet name="Uses of Funds as per PIM Kshs" sheetId="4" r:id="rId4"/>
    <sheet name="DLI Statement" sheetId="5" r:id="rId5"/>
    <sheet name="EEP Statement" sheetId="6" r:id="rId6"/>
  </sheets>
  <externalReferences>
    <externalReference r:id="rId9"/>
  </externalReferences>
  <definedNames>
    <definedName name="_xlnm.Print_Area" localSheetId="2">'Activities'!$A$1:$N$254</definedName>
    <definedName name="_xlnm.Print_Area" localSheetId="1">'Sources and Uses of Funds $'!$B$1:$E$56</definedName>
    <definedName name="_xlnm.Print_Area" localSheetId="0">'Sources and Uses of Funds KSH'!$B$1:$E$58</definedName>
  </definedNames>
  <calcPr fullCalcOnLoad="1"/>
</workbook>
</file>

<file path=xl/sharedStrings.xml><?xml version="1.0" encoding="utf-8"?>
<sst xmlns="http://schemas.openxmlformats.org/spreadsheetml/2006/main" count="1120" uniqueCount="452">
  <si>
    <t>MOI UNIVERSITY</t>
  </si>
  <si>
    <t>AFRICA HIGHER EDUCATION CENTERS OF EXCELLENCE PROJECT (151847)</t>
  </si>
  <si>
    <t>Statement of Sources and Uses of Funds</t>
  </si>
  <si>
    <t>Semi-Annual Period ending December 2018</t>
  </si>
  <si>
    <t>Cummulative for Financial Year End JUNE  2019</t>
  </si>
  <si>
    <t>Sources of Fund</t>
  </si>
  <si>
    <t>Opening Cash Balance</t>
  </si>
  <si>
    <t>Kshs</t>
  </si>
  <si>
    <t>Government Funds</t>
  </si>
  <si>
    <t>World Bank IDA Funds</t>
  </si>
  <si>
    <t>Student Fees</t>
  </si>
  <si>
    <t>Donor funds attracted</t>
  </si>
  <si>
    <t>Others</t>
  </si>
  <si>
    <t>Total</t>
  </si>
  <si>
    <t>Add Receipts</t>
  </si>
  <si>
    <t>Inter University Council</t>
  </si>
  <si>
    <t>Total Financing</t>
  </si>
  <si>
    <t>Less:  ACE Expenditure as per Project Implementation Plan</t>
  </si>
  <si>
    <t>1.0 Supporting institutional frame work for delivery  of ACE activities</t>
  </si>
  <si>
    <t>Education Support Capacity</t>
  </si>
  <si>
    <t>Donor Attracted Funds</t>
  </si>
  <si>
    <t>Total Uses of Funds by Components</t>
  </si>
  <si>
    <t>Closing Balances</t>
  </si>
  <si>
    <t>Represented By:</t>
  </si>
  <si>
    <t>Total Closing Cash Balance</t>
  </si>
  <si>
    <t>NOTES;</t>
  </si>
  <si>
    <t xml:space="preserve"> CURRENCY CONVERSION RATE USED IS 1USD = KSH. 103.25</t>
  </si>
  <si>
    <t>Accountant</t>
  </si>
  <si>
    <t>Checked by Dr Rose Ramkat</t>
  </si>
  <si>
    <t>Approved by Prof Ambrose Kiprop</t>
  </si>
  <si>
    <t>Center Leader</t>
  </si>
  <si>
    <t>US$</t>
  </si>
  <si>
    <t xml:space="preserve"> CONSOLIDATED  PROCUREMENT PLAN FOR THE  PROJECT YEAR 2018 TO 2019</t>
  </si>
  <si>
    <t>Activity No</t>
  </si>
  <si>
    <t>ITEM/SERVICE</t>
  </si>
  <si>
    <t>Fund B/fwd 2017/2018</t>
  </si>
  <si>
    <t xml:space="preserve"> Funds Allocated US$ 2018/2019</t>
  </si>
  <si>
    <t>Timing of Activities</t>
  </si>
  <si>
    <t>BUDGET JULY-DEC 2018 - Kshs</t>
  </si>
  <si>
    <t>EXPENSES JULY-DEC 2018- Ksh</t>
  </si>
  <si>
    <t>1st</t>
  </si>
  <si>
    <t>2nd</t>
  </si>
  <si>
    <t>3rd</t>
  </si>
  <si>
    <t>4th</t>
  </si>
  <si>
    <t xml:space="preserve"> Exchange Rate = 103.25</t>
  </si>
  <si>
    <t>Quarter</t>
  </si>
  <si>
    <t>1.0.</t>
  </si>
  <si>
    <t>Supporting institutional frame work for delivery  of ACE activities</t>
  </si>
  <si>
    <t>Refurbishment of Center building and Improvement of Center facilities</t>
  </si>
  <si>
    <t>1.5.1-bfwd</t>
  </si>
  <si>
    <t>Refurbishing centre buildings/Purchase Centre's Training Facilities</t>
  </si>
  <si>
    <t>1.5.1</t>
  </si>
  <si>
    <t xml:space="preserve">Purchase centre’s  training facilities        </t>
  </si>
  <si>
    <t>1.5.2-bfwd</t>
  </si>
  <si>
    <t>Purchasing centre’s facilities and High performance   Desktop PC (Apple iMac)</t>
  </si>
  <si>
    <t>1.5.2</t>
  </si>
  <si>
    <t xml:space="preserve">Provide secure doors  in ACE bulidings  to guard purchased equipments  </t>
  </si>
  <si>
    <t>SUB-TOTAL</t>
  </si>
  <si>
    <t>1..6</t>
  </si>
  <si>
    <t>Conduct seminars for self evaluation of project progress and industrial linkage committee meeting</t>
  </si>
  <si>
    <t>1.6.1-bfwd</t>
  </si>
  <si>
    <t>Self-evaluation seminars;  Provide Catering services, travel cost, venues, stationery, perdiem for team and facilitator</t>
  </si>
  <si>
    <t>1.6.1</t>
  </si>
  <si>
    <t>1.6.3-bfwd</t>
  </si>
  <si>
    <t>Hold 2 Industrial committee meetings; Provide Catering services, travel cost, airtime, venues, stationery, perdiem</t>
  </si>
  <si>
    <t>1.6.3</t>
  </si>
  <si>
    <t>1.8.</t>
  </si>
  <si>
    <t xml:space="preserve">Plan and hold ACE implementation meetings </t>
  </si>
  <si>
    <t>1.8.1-bfwd</t>
  </si>
  <si>
    <t>Provide meals and stationary for ACE meetings with ACE coordinators</t>
  </si>
  <si>
    <t>1.8.1</t>
  </si>
  <si>
    <t>1.8.2-bfwd</t>
  </si>
  <si>
    <t xml:space="preserve"> Provide meals and stationary for  school graduate faculty meetings</t>
  </si>
  <si>
    <t>1.8.2</t>
  </si>
  <si>
    <t>Partners annual meeting</t>
  </si>
  <si>
    <t>1.9.1</t>
  </si>
  <si>
    <t>Facilitation for; Meeting venues, road transport,  meals, airtime and stationary</t>
  </si>
  <si>
    <t>1.9.2</t>
  </si>
  <si>
    <t xml:space="preserve">Support partners to ACE annual partners meeting; road transport, air tickets, meals, per diem, accommodation </t>
  </si>
  <si>
    <t>ACE Operation Cost</t>
  </si>
  <si>
    <t>1.10.1-bfwd</t>
  </si>
  <si>
    <t>Cost for running ACE and other legible exercises not planned</t>
  </si>
  <si>
    <t>1.10.1</t>
  </si>
  <si>
    <t>ACTIVITY 1 TOTAL</t>
  </si>
  <si>
    <t>2.0.</t>
  </si>
  <si>
    <t>Strengthen education capacity excellence - quality and productivity</t>
  </si>
  <si>
    <t>Gender sensitization on postgraduate training in the areas of stem</t>
  </si>
  <si>
    <t>2.1.1</t>
  </si>
  <si>
    <t>Travel, accommodation, per diem for ACE members to sensitise in open Forums</t>
  </si>
  <si>
    <t>2.1.2</t>
  </si>
  <si>
    <t>Catering services, logistics, venues, stationery, etc., for holding a career/open day campaign on gender sensitization</t>
  </si>
  <si>
    <t>Advertisment of activities</t>
  </si>
  <si>
    <t>2.2.1-bfwd</t>
  </si>
  <si>
    <t>Advertisement of ACE postgraduate programs in print media (i.e., local newspapers, brochures,posters, etc.)</t>
  </si>
  <si>
    <t>2.2.1</t>
  </si>
  <si>
    <t>MSc Fellowships</t>
  </si>
  <si>
    <t>2.3.1-bfwd</t>
  </si>
  <si>
    <t xml:space="preserve">Partial scholarships for newly enrolled and continuing national and regional  MSc students </t>
  </si>
  <si>
    <t>2.3.1</t>
  </si>
  <si>
    <t>2.3.2-bfwd</t>
  </si>
  <si>
    <t>Partial scholarship for Partners support for MSc fellowships</t>
  </si>
  <si>
    <t>2.3.2</t>
  </si>
  <si>
    <t>PhD Fellowships</t>
  </si>
  <si>
    <t>2.4.1-bfwd</t>
  </si>
  <si>
    <t xml:space="preserve">Partial scholarships for newly enrolled and continuing national and regional  PhD students </t>
  </si>
  <si>
    <t>2.4.1</t>
  </si>
  <si>
    <t>2.4.2-bfwd</t>
  </si>
  <si>
    <t>2.4.2</t>
  </si>
  <si>
    <t>ICT Upgrading: , E-platforms establishment, E resources</t>
  </si>
  <si>
    <t>2.5.1-bfwd</t>
  </si>
  <si>
    <t>Installation of projectors in teaching rooms, Smart/Interactive white boards, &amp; development of a teleconferencing room</t>
  </si>
  <si>
    <t>2.5.1</t>
  </si>
  <si>
    <t>Installation of projectors in teaching rooms, Smart/Interactive white boards, &amp; buying laptops, printers, photocopier</t>
  </si>
  <si>
    <t>2.5.2-bfwd</t>
  </si>
  <si>
    <t>Development/Adoption of E-learning Platform</t>
  </si>
  <si>
    <t>2.5.3-bfwd</t>
  </si>
  <si>
    <t>Provision of Internet connectivity (Accessories for linking to the university backbone)</t>
  </si>
  <si>
    <t>2.5.4-bfwd</t>
  </si>
  <si>
    <t>Setting up a Local Area Network (LAN) in offices (2) and one ICT/Computer lab, &amp;Wi-Fi connectivity within the Center</t>
  </si>
  <si>
    <t>2.5.5-bfwd</t>
  </si>
  <si>
    <t>Increase Internet Bandwidth , provision of internet connectivity and networking</t>
  </si>
  <si>
    <t>2.5.5</t>
  </si>
  <si>
    <t>Increase Internet Bandwidth (20 Mbps)</t>
  </si>
  <si>
    <t>2.5.6-bfwd</t>
  </si>
  <si>
    <t xml:space="preserve">subscribed e-resources (international journals, books and databases)    </t>
  </si>
  <si>
    <t>2.5.6</t>
  </si>
  <si>
    <t>Purchase projectors, laptops, scanners,printers, &amp; photocopiers with scanning and network printing facility</t>
  </si>
  <si>
    <t>2.5.7-bfwd</t>
  </si>
  <si>
    <t>Interactive Website for research dissemination</t>
  </si>
  <si>
    <t>2.6-bfwd</t>
  </si>
  <si>
    <t xml:space="preserve">Re-tool faculty in areas relevant to the ACE </t>
  </si>
  <si>
    <t>Develop short courses curricullum</t>
  </si>
  <si>
    <t>2.7.2-bfwd</t>
  </si>
  <si>
    <t>Travel, accommodation, per diem, catering services on development of at least two (2) short courses</t>
  </si>
  <si>
    <t>2.7.2</t>
  </si>
  <si>
    <t xml:space="preserve"> Offer short courses and seminars</t>
  </si>
  <si>
    <t>2.8.1-bfwd</t>
  </si>
  <si>
    <t>2.8.1</t>
  </si>
  <si>
    <t>ACTIVITY 2 TOTAL</t>
  </si>
  <si>
    <t>Education Capacity &amp; Development Impact</t>
  </si>
  <si>
    <t>3.1.</t>
  </si>
  <si>
    <t>Cultural Seminars and language training</t>
  </si>
  <si>
    <t>3.1.1</t>
  </si>
  <si>
    <t>Orientation /cultural seminars</t>
  </si>
  <si>
    <t>3.1.2</t>
  </si>
  <si>
    <t xml:space="preserve">Language training </t>
  </si>
  <si>
    <t>3.1.3</t>
  </si>
  <si>
    <t>Joint meetings and events between  ACE staff and ACE students</t>
  </si>
  <si>
    <t>Visit to PTRE by professors/external expertise</t>
  </si>
  <si>
    <t>3.2.1</t>
  </si>
  <si>
    <t xml:space="preserve">Lead partner support for travel cost and perdiem of professors/external expertise to PTRE </t>
  </si>
  <si>
    <t>3.2.2</t>
  </si>
  <si>
    <t>Travelling cost and Perdiem for Support partners to visit PTRE on external expertise</t>
  </si>
  <si>
    <t>Review of curriculums and national accreditation</t>
  </si>
  <si>
    <t>3.3.1-fwd</t>
  </si>
  <si>
    <t>Review of Energy studies curriculum</t>
  </si>
  <si>
    <t>3.3.1</t>
  </si>
  <si>
    <t xml:space="preserve"> International accreditation of curriculum</t>
  </si>
  <si>
    <t>3.4.1</t>
  </si>
  <si>
    <t xml:space="preserve">Support faculty in accreditation of one (1) curriculum to Regional/ international level </t>
  </si>
  <si>
    <t>Develop New Curriculum</t>
  </si>
  <si>
    <t>3.6.2-bfwd</t>
  </si>
  <si>
    <t>Accreditation of MSc phytochemistry curriculum</t>
  </si>
  <si>
    <t>3.6.2</t>
  </si>
  <si>
    <t>3.6.3-bfwd</t>
  </si>
  <si>
    <t xml:space="preserve">Stakeholders meeting for Msc phytochemistry curriculum </t>
  </si>
  <si>
    <t>3.6.3</t>
  </si>
  <si>
    <t xml:space="preserve"> Benchmarking with partnership of Applied Sciences,Engineering and Technology (PASET) and partners for peer review for accreditation</t>
  </si>
  <si>
    <t>3.7.1-bfwd</t>
  </si>
  <si>
    <t xml:space="preserve">Facilitation of perdiem and transport to attend Bench-marking seminars /workshop </t>
  </si>
  <si>
    <t>3.7.1</t>
  </si>
  <si>
    <t>ACTIVITY 3 TOTAL</t>
  </si>
  <si>
    <t>Upgrade of  teaching and research labaratory</t>
  </si>
  <si>
    <t>4.1.1-bfwd</t>
  </si>
  <si>
    <t>Dyeing machines</t>
  </si>
  <si>
    <t>4.1.1</t>
  </si>
  <si>
    <t>Solar Photovoltaics Trainer Equipment (Model GUNT-  ET250.02  )</t>
  </si>
  <si>
    <t>4.1.2-bfwd</t>
  </si>
  <si>
    <t xml:space="preserve">Water bath heating machine </t>
  </si>
  <si>
    <t>4.1.2</t>
  </si>
  <si>
    <t>Spectrophotometer (Model HO-ED-TH-01)</t>
  </si>
  <si>
    <t>4.1.3-bfwd</t>
  </si>
  <si>
    <t>IDRaman mini Handheld Raman Spectrometer</t>
  </si>
  <si>
    <t>4.1.3</t>
  </si>
  <si>
    <t>Small Engine Test Set (TecQuipment Model  TD200 )</t>
  </si>
  <si>
    <t>4.1.4-bfwd</t>
  </si>
  <si>
    <t xml:space="preserve">High resolution Metallographic Microscope </t>
  </si>
  <si>
    <t>4.1.4</t>
  </si>
  <si>
    <t>Fluorimeter apparatus</t>
  </si>
  <si>
    <t>4.1.5-bfwd</t>
  </si>
  <si>
    <t>Electrical Muffle Furnace</t>
  </si>
  <si>
    <t>4.1.5</t>
  </si>
  <si>
    <t>All glass Distillation Unit</t>
  </si>
  <si>
    <t>4.1.6-bfwd</t>
  </si>
  <si>
    <t>Auto hot press machine (Hotonix STX20) –controlled pressure</t>
  </si>
  <si>
    <t>4.1.6</t>
  </si>
  <si>
    <t>Ice Maker</t>
  </si>
  <si>
    <t>4.1.7-bfwd</t>
  </si>
  <si>
    <t xml:space="preserve">Powdering/grinding machine </t>
  </si>
  <si>
    <t>4.1.7</t>
  </si>
  <si>
    <t>Freeze Drier</t>
  </si>
  <si>
    <t>4.1.8-bfwd</t>
  </si>
  <si>
    <t>Forced Ventilation Oven</t>
  </si>
  <si>
    <t>4.1.8</t>
  </si>
  <si>
    <t xml:space="preserve">Gas Generator </t>
  </si>
  <si>
    <t>4.1.9-bfwd</t>
  </si>
  <si>
    <t>Absorbance tester –Lamotte</t>
  </si>
  <si>
    <t>4.1.9</t>
  </si>
  <si>
    <t xml:space="preserve">Differential Pulse or Cyclic  Voltameter </t>
  </si>
  <si>
    <t>4.1.10-bfwd</t>
  </si>
  <si>
    <t>Electronic thermometer</t>
  </si>
  <si>
    <t>4.1.10</t>
  </si>
  <si>
    <t xml:space="preserve"> Bomb calorimeter</t>
  </si>
  <si>
    <t>4.1.11-bfwd</t>
  </si>
  <si>
    <t>Digital verniercaliper</t>
  </si>
  <si>
    <t>4.1.11</t>
  </si>
  <si>
    <t>Benchtop SEM</t>
  </si>
  <si>
    <t>4.1.12-bfwd</t>
  </si>
  <si>
    <t>Strain gauges</t>
  </si>
  <si>
    <t>4.1.12</t>
  </si>
  <si>
    <t xml:space="preserve">Gel doc </t>
  </si>
  <si>
    <t>4.1.13-bfwd</t>
  </si>
  <si>
    <t>High pressure stainless steel boiler</t>
  </si>
  <si>
    <t>4.1.13</t>
  </si>
  <si>
    <t>Gel running systems  (Gel trays, gel tanks)</t>
  </si>
  <si>
    <t>4.1.14-bfwd</t>
  </si>
  <si>
    <t>EC 100 XL  power supply</t>
  </si>
  <si>
    <t>4.1.14</t>
  </si>
  <si>
    <t>Cutting machine –Octo Round Knife</t>
  </si>
  <si>
    <t>4.1.15-bfwd</t>
  </si>
  <si>
    <t xml:space="preserve">Solar Module Quantum efficiency measurement system (with all accessories)
</t>
  </si>
  <si>
    <t>4.1.15</t>
  </si>
  <si>
    <t>Assorted Micro pipettes</t>
  </si>
  <si>
    <t>4.1.16</t>
  </si>
  <si>
    <t>UV- table</t>
  </si>
  <si>
    <t>4.1.17-bfwd</t>
  </si>
  <si>
    <t>Atomic Absorption Spectrometer (AAS)</t>
  </si>
  <si>
    <t>4.1.17</t>
  </si>
  <si>
    <t>liquid nitrogen dewar</t>
  </si>
  <si>
    <t>4.1.18</t>
  </si>
  <si>
    <t>Real time PCR</t>
  </si>
  <si>
    <t>4.1.19</t>
  </si>
  <si>
    <t>PCR machine</t>
  </si>
  <si>
    <t>4.1.20-bfwd</t>
  </si>
  <si>
    <t xml:space="preserve">Thermocouples (Temperature sensors, k-type, -Nickel-chromium) </t>
  </si>
  <si>
    <t>4.1.20</t>
  </si>
  <si>
    <t>Nano drop spectrophotometer</t>
  </si>
  <si>
    <t>4.1.21-bfwd</t>
  </si>
  <si>
    <t>PECVD split tube furnace systems</t>
  </si>
  <si>
    <t>4.1.21</t>
  </si>
  <si>
    <t>Thermo-gravimetric Analyzer (THEMYS TGA5500)</t>
  </si>
  <si>
    <t>4.1.22-bfwd</t>
  </si>
  <si>
    <t>Gas sensors (Edinburgh Gascard NG)</t>
  </si>
  <si>
    <t>4.1.22</t>
  </si>
  <si>
    <t>Thermostatic shaker</t>
  </si>
  <si>
    <t>4.1.23-bfwd</t>
  </si>
  <si>
    <t xml:space="preserve">Data acquisition system -Keithley 2700 with 2700XLINX start-up program </t>
  </si>
  <si>
    <t>4.1.24-bfwd</t>
  </si>
  <si>
    <t xml:space="preserve">Pressure sensors -Honeywell 142PC serie </t>
  </si>
  <si>
    <t>4.1.25-bfwd</t>
  </si>
  <si>
    <t>GC-Column for biogas measurement-Agilent Technologies J&amp;W GS-GasPr</t>
  </si>
  <si>
    <t>4.1.26-bfwd</t>
  </si>
  <si>
    <t>Biogas Rotameter</t>
  </si>
  <si>
    <t>4.1.27-bfwd</t>
  </si>
  <si>
    <t>Support of partners to upgrade laboratories</t>
  </si>
  <si>
    <t>4.1.28-bfwd</t>
  </si>
  <si>
    <t xml:space="preserve">High performance blending machine </t>
  </si>
  <si>
    <t>4.1.29-bfwd</t>
  </si>
  <si>
    <t>ELISA plate reader</t>
  </si>
  <si>
    <t>SUBTOTAL</t>
  </si>
  <si>
    <t xml:space="preserve"> Laboratory equipment installation, commissioning and training </t>
  </si>
  <si>
    <t>Generator back up</t>
  </si>
  <si>
    <t>4.3.1</t>
  </si>
  <si>
    <t>Purchase of generator back up Generator back up</t>
  </si>
  <si>
    <t>4.3.2</t>
  </si>
  <si>
    <t>Maintain, service and calibrate academic infrastructure/facilities for learning and research</t>
  </si>
  <si>
    <t>Purchase of laboratory  consumables and softwares</t>
  </si>
  <si>
    <t>4.4.1-bfwd</t>
  </si>
  <si>
    <t xml:space="preserve">Purchase of laboratory  consumables </t>
  </si>
  <si>
    <t>4.4.1</t>
  </si>
  <si>
    <t>Laboratory consumables (textile materials, chemicals reagents, safety clothing, glassware)</t>
  </si>
  <si>
    <t>4.4.2-bfwd</t>
  </si>
  <si>
    <t>VASP code</t>
  </si>
  <si>
    <t>4.4.2</t>
  </si>
  <si>
    <t>Purchase of softwares</t>
  </si>
  <si>
    <t>4.4.3-bfwd</t>
  </si>
  <si>
    <t>Atomistic Tool Kit-Virtual Nano Lab licence</t>
  </si>
  <si>
    <t>Establishment of biogas unit for teaching and research</t>
  </si>
  <si>
    <t>Outreach services</t>
  </si>
  <si>
    <t>4.7.1</t>
  </si>
  <si>
    <t>Facilitation of travel and perdiem, venue, airtime and meals during Engagement of communities in remote areas/marginalized and around university areas in PTRE activities</t>
  </si>
  <si>
    <t>Establish new partnerships (MOUs) and strengthen existing ones in the area of teaching &amp; research</t>
  </si>
  <si>
    <t xml:space="preserve">Support of faculty travelling cost and Perdiem to establish Memorundum of Understandings with partners     </t>
  </si>
  <si>
    <t>4.7.2</t>
  </si>
  <si>
    <t>Facilitation for Travelling cost and Perdiem for discussions on strengthen existing MOUs in the area of teaching &amp; research</t>
  </si>
  <si>
    <t>Faculty /PhD student  Mentorship on specialised skills (internships,mobility)</t>
  </si>
  <si>
    <t>4.8.1-bfwd</t>
  </si>
  <si>
    <t>Lead partner Support for internship and mobility</t>
  </si>
  <si>
    <t>4.8.1</t>
  </si>
  <si>
    <t>4.8.2-bfwd</t>
  </si>
  <si>
    <t>Support partners to mentorship logistics/mobility (Travelling, Perdiem,training cost)</t>
  </si>
  <si>
    <t>4.8.2</t>
  </si>
  <si>
    <t>Support faulty to submit Grant proposals</t>
  </si>
  <si>
    <t>4.9.1-bfwd</t>
  </si>
  <si>
    <t>Grant application logistics (Travel, Perdiem, communication, stationeries, venues, consultancy cost)</t>
  </si>
  <si>
    <t>4.9.1</t>
  </si>
  <si>
    <t>4.10.1</t>
  </si>
  <si>
    <t>Faculty/Students  collaborative research</t>
  </si>
  <si>
    <t>4.11.1-bfwd</t>
  </si>
  <si>
    <t>Research activities logistics (Travel, Perdiem, communication, stationeries, venues, consultancy cost, materials, insurance )</t>
  </si>
  <si>
    <t>4.11.1</t>
  </si>
  <si>
    <t>4.11.2-bfwd</t>
  </si>
  <si>
    <t>Support partners students in research</t>
  </si>
  <si>
    <t>4.11.2</t>
  </si>
  <si>
    <t>Participation in  external seminar workshop, conference and short courses</t>
  </si>
  <si>
    <t>4.12.1-bfwd</t>
  </si>
  <si>
    <t>Professional skills training and conference attendance  logistics (Travel, Perdiem, communication, stationeries,  publication, visas, insurance )</t>
  </si>
  <si>
    <t>4.12.1</t>
  </si>
  <si>
    <t>4.12.2-bfwd</t>
  </si>
  <si>
    <t>support partners to  seminar workshop, conference and short courses</t>
  </si>
  <si>
    <t>4.12.2</t>
  </si>
  <si>
    <t>Publish research findings in  peer-reviewed journals</t>
  </si>
  <si>
    <t>4.13.1</t>
  </si>
  <si>
    <t xml:space="preserve">Support lead partner  to Publish research findings in and peer-reviewed journals </t>
  </si>
  <si>
    <t>***</t>
  </si>
  <si>
    <t xml:space="preserve"> Support partners to Publish research findings in and peer-reviewed journals </t>
  </si>
  <si>
    <t xml:space="preserve">Maintain ,insurance  and service research vehicles </t>
  </si>
  <si>
    <t>4.14.3</t>
  </si>
  <si>
    <t>Vehicle Insurance – Landcruiser at PTRE</t>
  </si>
  <si>
    <t>4.14.4-bfwd</t>
  </si>
  <si>
    <t>Vehicle service and maintenance – Landcruiser at PTRE</t>
  </si>
  <si>
    <t>4.14.4</t>
  </si>
  <si>
    <t>4.14.5-bfwd</t>
  </si>
  <si>
    <t>Local and regional travel</t>
  </si>
  <si>
    <t>4.14.5</t>
  </si>
  <si>
    <t xml:space="preserve"> Trainings, benchmarks and exchange for staff under areas that support PTRE</t>
  </si>
  <si>
    <t>4.18.1-bfwd</t>
  </si>
  <si>
    <t>Support for training i.e fees for course, perdiem, transport, air ticket</t>
  </si>
  <si>
    <t>4.18.1</t>
  </si>
  <si>
    <t>ACTIVITY 4 TOTAL</t>
  </si>
  <si>
    <t>Observation of best practices in ACE financial operation</t>
  </si>
  <si>
    <t>6.1.1</t>
  </si>
  <si>
    <t>Financial reporting</t>
  </si>
  <si>
    <t>6.2.0</t>
  </si>
  <si>
    <t>Financial audit</t>
  </si>
  <si>
    <t>6.3.0</t>
  </si>
  <si>
    <t>Transparent financial management enhancement</t>
  </si>
  <si>
    <t>6.4.0</t>
  </si>
  <si>
    <t>Students sponsors refunds processing</t>
  </si>
  <si>
    <t>Observation of best practices in ACE procurement operation</t>
  </si>
  <si>
    <t>7.1.0</t>
  </si>
  <si>
    <t>Procurement audit</t>
  </si>
  <si>
    <t>7.2.0</t>
  </si>
  <si>
    <t>Ensuring transparent procurement process</t>
  </si>
  <si>
    <t>Inter University Council Support</t>
  </si>
  <si>
    <t>9.1.1</t>
  </si>
  <si>
    <t>9.1.2</t>
  </si>
  <si>
    <t>TOTAL;   SUB-TOTAL</t>
  </si>
  <si>
    <t>Amount in Kes</t>
  </si>
  <si>
    <t>Uses of Funds (Breakdown)</t>
  </si>
  <si>
    <t>Semi-Annual Period ending…DEC 18</t>
  </si>
  <si>
    <t>Cumulative for the Year 2018/19</t>
  </si>
  <si>
    <t xml:space="preserve">Actual </t>
  </si>
  <si>
    <t>Planned</t>
  </si>
  <si>
    <t>Variance</t>
  </si>
  <si>
    <t>Explanation for the Variance</t>
  </si>
  <si>
    <t>PAD/Life of Project</t>
  </si>
  <si>
    <t>Revised PAD</t>
  </si>
  <si>
    <t>TOTAL</t>
  </si>
  <si>
    <t>Purchase of labaratory  consumables and softwares</t>
  </si>
  <si>
    <t>NOTES ANNEX</t>
  </si>
  <si>
    <t>DISBURSEMENT LINKED TO INDICATORS</t>
  </si>
  <si>
    <t>ACTIONS TO BE COMPLETED</t>
  </si>
  <si>
    <t>STATUS OF ACTIONS COMPLETION</t>
  </si>
  <si>
    <t>AMOUNT ALLOCATED (USD)</t>
  </si>
  <si>
    <t>AMOUNT DISBURSED(USD)</t>
  </si>
  <si>
    <t>UNDISBURSED BALANCE (USD)</t>
  </si>
  <si>
    <t>DLI1: Institutional Readiness</t>
  </si>
  <si>
    <t>DLR#1.1:  To meet Conditions for effectiveness Creation of ACE designated account.                Approved Financial Management and procurement procedures and Environmental and social management palns capacity.</t>
  </si>
  <si>
    <t xml:space="preserve">completed </t>
  </si>
  <si>
    <t>Nil</t>
  </si>
  <si>
    <t>DLR#1.2:   Development of detailed implmentation plans.  Signing of funding and performance contract between the University and the Governfment.</t>
  </si>
  <si>
    <t>DLI2</t>
  </si>
  <si>
    <t xml:space="preserve">DLR# 2.1: Timely annual implementation of the plans </t>
  </si>
  <si>
    <t>Ongoing</t>
  </si>
  <si>
    <t>Excellence in education and research capacity and development impact</t>
  </si>
  <si>
    <t>At least 70% of the annual activities achieved</t>
  </si>
  <si>
    <t>DLR #2.2: Newly enrolled students in the ACE of which at least 20% must be regional (African) students.</t>
  </si>
  <si>
    <t>DLR#2.3: Accreditation of quality of education programs</t>
  </si>
  <si>
    <t>3 programmes accreditted by CUE</t>
  </si>
  <si>
    <t>DLR#2.4: Collaboration and partnerships for applied research and training. Signing of the partnership MOUs for at least a period of two years</t>
  </si>
  <si>
    <t>DLR#2.5: Peer-reviewed journal papers or peer-reviewed conference papers prepared collaboratively with regionally or international partners</t>
  </si>
  <si>
    <t>DLR#2.6: Faculty and PhD student exchanges to promote regional research and teaching</t>
  </si>
  <si>
    <t>Faculty exchange in University of Gezira, University of South Africa and NUST (Zimbabwe) (Regional sent  4), Regional hosted 3 (Bahati-UNISA, Nibikora-Busitema, Rabie-Sudan), International sent (Sheilla-Ghent). National sent (Arimi-BioGas international, Ochola-Egerton, Chemweno-Nyeri hospital).</t>
  </si>
  <si>
    <t>DLR#2.7: External revenue generation</t>
  </si>
  <si>
    <t>DLR#2.8: Institution participating in benchmarking exercise</t>
  </si>
  <si>
    <t>DLI3</t>
  </si>
  <si>
    <t>DLR#3.1: Timely Withdrawal Application supported by financial reporting on the ACE account for the period</t>
  </si>
  <si>
    <t xml:space="preserve"> Timely, transparent and institutionally reviewed Financial Management</t>
  </si>
  <si>
    <t>DLR#3.2: Functioning Audit Committee under the university council</t>
  </si>
  <si>
    <t>In Place</t>
  </si>
  <si>
    <t xml:space="preserve">DLR#3.3: Functioning internal audit unit for the university.  Internal audit unit in place </t>
  </si>
  <si>
    <t>DLR#3.4: Transparency of financial management (audit reports, interim financial reports, budgets and annual work plan are all web accessible)</t>
  </si>
  <si>
    <t>DLI4</t>
  </si>
  <si>
    <t>DLR# 4.1 Timely procurement audit report</t>
  </si>
  <si>
    <t>Timely and audited procurement</t>
  </si>
  <si>
    <t>Timely submission of procurement audit report</t>
  </si>
  <si>
    <t>DLR#4.2: Timely and satisfactory procurement progress report</t>
  </si>
  <si>
    <t>Timely submission of procurement progress report</t>
  </si>
  <si>
    <t xml:space="preserve">MOI UNIVERSITY </t>
  </si>
  <si>
    <t xml:space="preserve">Statement of Reimbursable Eligible Expenditure Programs (EEPs) </t>
  </si>
  <si>
    <t>Eligible Expenditure Program (EEP)</t>
  </si>
  <si>
    <t>Semi Annual period ending December 2018</t>
  </si>
  <si>
    <t>Cummulative for Financial Year End 30th June 2018</t>
  </si>
  <si>
    <t>EEP 1: Salaries</t>
  </si>
  <si>
    <t>EEP 2: Non Procurable Expenditure as defined in Financing Agreement</t>
  </si>
  <si>
    <t>Total EEPs</t>
  </si>
  <si>
    <t xml:space="preserve">FUNDS - AFDB </t>
  </si>
  <si>
    <t xml:space="preserve">FUNDS - GIZ NAIROBI </t>
  </si>
  <si>
    <t xml:space="preserve">FUNDS - GLASCOW UNI </t>
  </si>
  <si>
    <t>93 students enrolled under ACE II PTRE</t>
  </si>
  <si>
    <t>4 MOU developed and signed with a private partners NORCART  Africa, BioGas International and University of Gezira (public)</t>
  </si>
  <si>
    <t>1 conference paper published with a regional partner and 2 papers published in peer reviewed journal</t>
  </si>
  <si>
    <t xml:space="preserve">Students application fee, GIZ, GLASCOW UNI, AfDB </t>
  </si>
  <si>
    <t>On going</t>
  </si>
  <si>
    <t>Withdrawal application done for DLI 2.1,2.2,2.3,2.4,2.5,2.6,2.7, 3.2,3.3 and 3.4</t>
  </si>
  <si>
    <t xml:space="preserve">Procurement Plan accessible in the University Website                     </t>
  </si>
  <si>
    <t>Activity still on going</t>
  </si>
  <si>
    <t>being used continously</t>
  </si>
  <si>
    <t>accomplished</t>
  </si>
  <si>
    <t>continously being used</t>
  </si>
  <si>
    <t>funds not yet received</t>
  </si>
  <si>
    <t>Development of MSc phytochemistry curriculum</t>
  </si>
  <si>
    <t>moved to be done in Q3</t>
  </si>
  <si>
    <t>will be done curriculum is ready</t>
  </si>
  <si>
    <t>under procurement</t>
  </si>
  <si>
    <t xml:space="preserve">                                      AFRICA CENTRE OF EXCELLENCE (ACE II) IN PHYTOCHEMICALS, TEXTILE AND RENEWABLE ENERGY (ACEII-PTRE)</t>
  </si>
  <si>
    <t>Q3+Q4</t>
  </si>
  <si>
    <t>EXPENSES Jan-June 2019- Ksh</t>
  </si>
  <si>
    <t>BUDGETJan-June 2018 - Kshs</t>
  </si>
  <si>
    <t>Q1+Q2</t>
  </si>
  <si>
    <t>BALANCE Kshs July- APRIL 2019</t>
  </si>
  <si>
    <t>1st  Half(Q1+Q2)</t>
  </si>
  <si>
    <t>2nd Half(Q3+Q4)</t>
  </si>
  <si>
    <t>cumm balances</t>
  </si>
  <si>
    <t>SITA</t>
  </si>
  <si>
    <t>Prepared By: Julius  K Cheboriot</t>
  </si>
  <si>
    <t>completed</t>
  </si>
  <si>
    <t>for the semi-annual period ending 30th June2019</t>
  </si>
  <si>
    <t>Deputy Centre Leader</t>
  </si>
  <si>
    <t>for the semi-annual period ending 30th June 2019</t>
  </si>
  <si>
    <t>for the semi-annual period ending June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</si>
</sst>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62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Arial"/>
      <family val="2"/>
    </font>
    <font>
      <b/>
      <u val="single"/>
      <sz val="12"/>
      <name val="Tahoma"/>
      <family val="2"/>
    </font>
    <font>
      <b/>
      <sz val="12"/>
      <color indexed="10"/>
      <name val="Tahoma"/>
      <family val="2"/>
    </font>
    <font>
      <sz val="12"/>
      <name val="Arial"/>
      <family val="2"/>
    </font>
    <font>
      <sz val="11"/>
      <name val="Tahoma"/>
      <family val="2"/>
    </font>
    <font>
      <sz val="11"/>
      <name val="Arial"/>
      <family val="2"/>
    </font>
    <font>
      <sz val="12"/>
      <color indexed="10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5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rgb="FF000000"/>
      <name val="Tahoma"/>
      <family val="2"/>
    </font>
    <font>
      <b/>
      <sz val="12"/>
      <color rgb="FFFF0000"/>
      <name val="Tahoma"/>
      <family val="2"/>
    </font>
    <font>
      <sz val="12"/>
      <color rgb="FFFF0000"/>
      <name val="Tahoma"/>
      <family val="2"/>
    </font>
    <font>
      <sz val="12"/>
      <color rgb="FF00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thin"/>
      <right style="thin"/>
      <top style="hair"/>
      <bottom style="double"/>
    </border>
    <border>
      <left/>
      <right style="hair"/>
      <top style="hair"/>
      <bottom style="double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hair"/>
      <right/>
      <top style="hair"/>
      <bottom style="hair"/>
    </border>
    <border>
      <left style="medium"/>
      <right style="thin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 style="hair"/>
      <bottom/>
    </border>
    <border>
      <left style="medium"/>
      <right style="thin"/>
      <top style="thin"/>
      <bottom style="medium"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/>
      <top style="thin"/>
      <bottom style="medium"/>
    </border>
    <border>
      <left/>
      <right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hair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medium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hair"/>
      <right style="medium"/>
      <top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90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28">
    <xf numFmtId="0" fontId="0" fillId="0" borderId="0" xfId="0" applyAlignment="1">
      <alignment vertical="top"/>
    </xf>
    <xf numFmtId="0" fontId="5" fillId="0" borderId="0" xfId="68" applyFont="1" applyBorder="1" applyAlignment="1">
      <alignment horizontal="center" vertical="center"/>
      <protection/>
    </xf>
    <xf numFmtId="0" fontId="53" fillId="0" borderId="0" xfId="68" applyFont="1" applyAlignment="1">
      <alignment vertical="center"/>
      <protection/>
    </xf>
    <xf numFmtId="0" fontId="3" fillId="0" borderId="0" xfId="68" applyFont="1" applyBorder="1" applyAlignment="1">
      <alignment horizontal="center" vertical="center"/>
      <protection/>
    </xf>
    <xf numFmtId="0" fontId="54" fillId="0" borderId="0" xfId="68" applyFont="1" applyAlignment="1">
      <alignment vertical="center"/>
      <protection/>
    </xf>
    <xf numFmtId="0" fontId="3" fillId="33" borderId="10" xfId="68" applyFont="1" applyFill="1" applyBorder="1" applyAlignment="1">
      <alignment vertical="center"/>
      <protection/>
    </xf>
    <xf numFmtId="0" fontId="53" fillId="33" borderId="11" xfId="68" applyFont="1" applyFill="1" applyBorder="1" applyAlignment="1">
      <alignment vertical="center"/>
      <protection/>
    </xf>
    <xf numFmtId="0" fontId="53" fillId="33" borderId="12" xfId="68" applyFont="1" applyFill="1" applyBorder="1" applyAlignment="1">
      <alignment vertical="center"/>
      <protection/>
    </xf>
    <xf numFmtId="0" fontId="54" fillId="0" borderId="10" xfId="68" applyFont="1" applyBorder="1" applyAlignment="1">
      <alignment vertical="center"/>
      <protection/>
    </xf>
    <xf numFmtId="0" fontId="3" fillId="0" borderId="11" xfId="68" applyFont="1" applyBorder="1" applyAlignment="1">
      <alignment horizontal="center" vertical="center"/>
      <protection/>
    </xf>
    <xf numFmtId="0" fontId="3" fillId="0" borderId="12" xfId="68" applyFont="1" applyBorder="1" applyAlignment="1">
      <alignment horizontal="center" vertical="center"/>
      <protection/>
    </xf>
    <xf numFmtId="0" fontId="4" fillId="0" borderId="10" xfId="68" applyFont="1" applyBorder="1" applyAlignment="1">
      <alignment vertical="center"/>
      <protection/>
    </xf>
    <xf numFmtId="164" fontId="4" fillId="0" borderId="11" xfId="44" applyNumberFormat="1" applyFont="1" applyBorder="1" applyAlignment="1">
      <alignment vertical="center"/>
    </xf>
    <xf numFmtId="164" fontId="4" fillId="0" borderId="12" xfId="44" applyNumberFormat="1" applyFont="1" applyBorder="1" applyAlignment="1">
      <alignment vertical="center"/>
    </xf>
    <xf numFmtId="0" fontId="4" fillId="0" borderId="10" xfId="68" applyFont="1" applyBorder="1" applyAlignment="1">
      <alignment vertical="center" wrapText="1"/>
      <protection/>
    </xf>
    <xf numFmtId="43" fontId="53" fillId="0" borderId="11" xfId="44" applyFont="1" applyBorder="1" applyAlignment="1">
      <alignment vertical="center"/>
    </xf>
    <xf numFmtId="43" fontId="53" fillId="0" borderId="12" xfId="44" applyFont="1" applyBorder="1" applyAlignment="1">
      <alignment vertical="center"/>
    </xf>
    <xf numFmtId="0" fontId="3" fillId="0" borderId="10" xfId="68" applyFont="1" applyBorder="1" applyAlignment="1">
      <alignment vertical="center"/>
      <protection/>
    </xf>
    <xf numFmtId="164" fontId="3" fillId="0" borderId="11" xfId="68" applyNumberFormat="1" applyFont="1" applyBorder="1" applyAlignment="1">
      <alignment vertical="center"/>
      <protection/>
    </xf>
    <xf numFmtId="164" fontId="3" fillId="0" borderId="12" xfId="68" applyNumberFormat="1" applyFont="1" applyBorder="1" applyAlignment="1">
      <alignment vertical="center"/>
      <protection/>
    </xf>
    <xf numFmtId="0" fontId="53" fillId="33" borderId="13" xfId="68" applyFont="1" applyFill="1" applyBorder="1" applyAlignment="1">
      <alignment vertical="center"/>
      <protection/>
    </xf>
    <xf numFmtId="0" fontId="55" fillId="15" borderId="14" xfId="68" applyFont="1" applyFill="1" applyBorder="1" applyAlignment="1">
      <alignment vertical="center" wrapText="1"/>
      <protection/>
    </xf>
    <xf numFmtId="0" fontId="53" fillId="33" borderId="15" xfId="68" applyFont="1" applyFill="1" applyBorder="1" applyAlignment="1">
      <alignment vertical="center"/>
      <protection/>
    </xf>
    <xf numFmtId="0" fontId="9" fillId="0" borderId="0" xfId="67" applyFont="1" applyAlignment="1">
      <alignment horizontal="center" vertical="center"/>
      <protection/>
    </xf>
    <xf numFmtId="0" fontId="56" fillId="0" borderId="0" xfId="67" applyFont="1" applyAlignment="1">
      <alignment vertical="center"/>
      <protection/>
    </xf>
    <xf numFmtId="0" fontId="10" fillId="0" borderId="0" xfId="67" applyFont="1" applyAlignment="1">
      <alignment horizontal="center" vertical="center"/>
      <protection/>
    </xf>
    <xf numFmtId="0" fontId="10" fillId="0" borderId="10" xfId="67" applyFont="1" applyBorder="1" applyAlignment="1">
      <alignment horizontal="left" vertical="center"/>
      <protection/>
    </xf>
    <xf numFmtId="0" fontId="57" fillId="0" borderId="0" xfId="67" applyFont="1" applyAlignment="1">
      <alignment vertical="center"/>
      <protection/>
    </xf>
    <xf numFmtId="43" fontId="13" fillId="0" borderId="0" xfId="42" applyFont="1" applyAlignment="1">
      <alignment vertical="top"/>
    </xf>
    <xf numFmtId="0" fontId="13" fillId="0" borderId="0" xfId="74" applyFont="1">
      <alignment vertical="top"/>
      <protection/>
    </xf>
    <xf numFmtId="0" fontId="14" fillId="0" borderId="10" xfId="67" applyFont="1" applyBorder="1" applyAlignment="1">
      <alignment horizontal="left" vertical="center"/>
      <protection/>
    </xf>
    <xf numFmtId="43" fontId="9" fillId="0" borderId="11" xfId="44" applyFont="1" applyBorder="1" applyAlignment="1">
      <alignment horizontal="center" vertical="center"/>
    </xf>
    <xf numFmtId="43" fontId="9" fillId="0" borderId="12" xfId="44" applyFont="1" applyBorder="1" applyAlignment="1">
      <alignment horizontal="center" vertical="center"/>
    </xf>
    <xf numFmtId="0" fontId="9" fillId="0" borderId="10" xfId="67" applyFont="1" applyBorder="1" applyAlignment="1">
      <alignment horizontal="left" vertical="center"/>
      <protection/>
    </xf>
    <xf numFmtId="43" fontId="9" fillId="0" borderId="11" xfId="44" applyFont="1" applyBorder="1" applyAlignment="1">
      <alignment vertical="center"/>
    </xf>
    <xf numFmtId="43" fontId="9" fillId="0" borderId="12" xfId="44" applyFont="1" applyBorder="1" applyAlignment="1">
      <alignment vertical="center"/>
    </xf>
    <xf numFmtId="43" fontId="10" fillId="0" borderId="11" xfId="67" applyNumberFormat="1" applyFont="1" applyBorder="1" applyAlignment="1">
      <alignment horizontal="right" vertical="center"/>
      <protection/>
    </xf>
    <xf numFmtId="0" fontId="9" fillId="33" borderId="10" xfId="67" applyFont="1" applyFill="1" applyBorder="1" applyAlignment="1">
      <alignment horizontal="left" vertical="center"/>
      <protection/>
    </xf>
    <xf numFmtId="0" fontId="9" fillId="33" borderId="11" xfId="67" applyFont="1" applyFill="1" applyBorder="1" applyAlignment="1">
      <alignment vertical="center"/>
      <protection/>
    </xf>
    <xf numFmtId="0" fontId="9" fillId="33" borderId="12" xfId="67" applyFont="1" applyFill="1" applyBorder="1" applyAlignment="1">
      <alignment vertical="center"/>
      <protection/>
    </xf>
    <xf numFmtId="43" fontId="9" fillId="34" borderId="11" xfId="44" applyFont="1" applyFill="1" applyBorder="1" applyAlignment="1">
      <alignment vertical="center"/>
    </xf>
    <xf numFmtId="43" fontId="10" fillId="0" borderId="11" xfId="44" applyFont="1" applyBorder="1" applyAlignment="1">
      <alignment vertical="center"/>
    </xf>
    <xf numFmtId="0" fontId="10" fillId="33" borderId="10" xfId="67" applyFont="1" applyFill="1" applyBorder="1" applyAlignment="1">
      <alignment horizontal="left" vertical="center"/>
      <protection/>
    </xf>
    <xf numFmtId="0" fontId="9" fillId="0" borderId="11" xfId="67" applyFont="1" applyBorder="1" applyAlignment="1">
      <alignment vertical="center"/>
      <protection/>
    </xf>
    <xf numFmtId="0" fontId="9" fillId="0" borderId="12" xfId="67" applyFont="1" applyBorder="1" applyAlignment="1">
      <alignment vertical="center"/>
      <protection/>
    </xf>
    <xf numFmtId="0" fontId="9" fillId="0" borderId="10" xfId="67" applyFont="1" applyFill="1" applyBorder="1" applyAlignment="1">
      <alignment horizontal="left" vertical="center" wrapText="1"/>
      <protection/>
    </xf>
    <xf numFmtId="43" fontId="9" fillId="0" borderId="11" xfId="55" applyFont="1" applyBorder="1" applyAlignment="1">
      <alignment vertical="center"/>
    </xf>
    <xf numFmtId="0" fontId="9" fillId="0" borderId="11" xfId="68" applyFont="1" applyFill="1" applyBorder="1" applyAlignment="1">
      <alignment vertical="center" wrapText="1"/>
      <protection/>
    </xf>
    <xf numFmtId="43" fontId="56" fillId="0" borderId="0" xfId="67" applyNumberFormat="1" applyFont="1" applyAlignment="1">
      <alignment vertical="center"/>
      <protection/>
    </xf>
    <xf numFmtId="43" fontId="9" fillId="0" borderId="12" xfId="55" applyFont="1" applyFill="1" applyBorder="1" applyAlignment="1">
      <alignment vertical="center"/>
    </xf>
    <xf numFmtId="0" fontId="58" fillId="0" borderId="10" xfId="67" applyFont="1" applyBorder="1" applyAlignment="1">
      <alignment horizontal="left" vertical="center"/>
      <protection/>
    </xf>
    <xf numFmtId="43" fontId="58" fillId="0" borderId="11" xfId="67" applyNumberFormat="1" applyFont="1" applyBorder="1" applyAlignment="1">
      <alignment vertical="center"/>
      <protection/>
    </xf>
    <xf numFmtId="43" fontId="57" fillId="0" borderId="0" xfId="67" applyNumberFormat="1" applyFont="1" applyAlignment="1">
      <alignment vertical="center"/>
      <protection/>
    </xf>
    <xf numFmtId="0" fontId="10" fillId="0" borderId="11" xfId="67" applyFont="1" applyBorder="1" applyAlignment="1">
      <alignment vertical="center"/>
      <protection/>
    </xf>
    <xf numFmtId="0" fontId="10" fillId="0" borderId="12" xfId="67" applyFont="1" applyBorder="1" applyAlignment="1">
      <alignment vertical="center"/>
      <protection/>
    </xf>
    <xf numFmtId="43" fontId="9" fillId="0" borderId="11" xfId="67" applyNumberFormat="1" applyFont="1" applyBorder="1" applyAlignment="1">
      <alignment vertical="center"/>
      <protection/>
    </xf>
    <xf numFmtId="43" fontId="9" fillId="0" borderId="12" xfId="67" applyNumberFormat="1" applyFont="1" applyBorder="1" applyAlignment="1">
      <alignment vertical="center"/>
      <protection/>
    </xf>
    <xf numFmtId="164" fontId="9" fillId="0" borderId="11" xfId="44" applyNumberFormat="1" applyFont="1" applyBorder="1" applyAlignment="1">
      <alignment vertical="center"/>
    </xf>
    <xf numFmtId="0" fontId="10" fillId="0" borderId="13" xfId="67" applyFont="1" applyBorder="1" applyAlignment="1">
      <alignment horizontal="left" vertical="center"/>
      <protection/>
    </xf>
    <xf numFmtId="43" fontId="10" fillId="0" borderId="14" xfId="67" applyNumberFormat="1" applyFont="1" applyBorder="1" applyAlignment="1">
      <alignment vertical="center"/>
      <protection/>
    </xf>
    <xf numFmtId="0" fontId="14" fillId="0" borderId="0" xfId="67" applyFont="1" applyAlignment="1">
      <alignment horizontal="left" vertical="center"/>
      <protection/>
    </xf>
    <xf numFmtId="43" fontId="9" fillId="0" borderId="0" xfId="67" applyNumberFormat="1" applyFont="1" applyAlignment="1">
      <alignment vertical="center"/>
      <protection/>
    </xf>
    <xf numFmtId="0" fontId="9" fillId="0" borderId="0" xfId="67" applyFont="1" applyAlignment="1">
      <alignment vertical="center"/>
      <protection/>
    </xf>
    <xf numFmtId="0" fontId="9" fillId="0" borderId="0" xfId="67" applyFont="1" applyAlignment="1">
      <alignment horizontal="left" vertical="center"/>
      <protection/>
    </xf>
    <xf numFmtId="0" fontId="10" fillId="0" borderId="16" xfId="67" applyFont="1" applyBorder="1" applyAlignment="1">
      <alignment horizontal="left" vertical="center"/>
      <protection/>
    </xf>
    <xf numFmtId="0" fontId="10" fillId="0" borderId="0" xfId="67" applyFont="1" applyAlignment="1">
      <alignment horizontal="left" vertical="center"/>
      <protection/>
    </xf>
    <xf numFmtId="0" fontId="56" fillId="0" borderId="0" xfId="67" applyFont="1" applyAlignment="1">
      <alignment horizontal="center" vertical="center"/>
      <protection/>
    </xf>
    <xf numFmtId="0" fontId="56" fillId="0" borderId="0" xfId="67" applyFont="1" applyAlignment="1">
      <alignment horizontal="left" vertical="center"/>
      <protection/>
    </xf>
    <xf numFmtId="43" fontId="10" fillId="0" borderId="11" xfId="67" applyNumberFormat="1" applyFont="1" applyBorder="1" applyAlignment="1">
      <alignment vertical="center"/>
      <protection/>
    </xf>
    <xf numFmtId="0" fontId="9" fillId="0" borderId="0" xfId="69" applyFont="1" applyAlignment="1">
      <alignment horizontal="left" vertical="center"/>
      <protection/>
    </xf>
    <xf numFmtId="0" fontId="10" fillId="0" borderId="17" xfId="68" applyFont="1" applyBorder="1" applyAlignment="1">
      <alignment horizontal="left" vertical="center"/>
      <protection/>
    </xf>
    <xf numFmtId="0" fontId="10" fillId="0" borderId="18" xfId="68" applyFont="1" applyBorder="1" applyAlignment="1">
      <alignment vertical="center" wrapText="1"/>
      <protection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68" applyFont="1" applyBorder="1" applyAlignment="1">
      <alignment horizontal="left" vertical="center"/>
      <protection/>
    </xf>
    <xf numFmtId="0" fontId="10" fillId="0" borderId="22" xfId="68" applyFont="1" applyBorder="1" applyAlignment="1">
      <alignment vertical="center" wrapText="1"/>
      <protection/>
    </xf>
    <xf numFmtId="164" fontId="57" fillId="0" borderId="11" xfId="42" applyNumberFormat="1" applyFont="1" applyBorder="1" applyAlignment="1">
      <alignment vertical="center"/>
    </xf>
    <xf numFmtId="164" fontId="12" fillId="0" borderId="12" xfId="42" applyNumberFormat="1" applyFont="1" applyBorder="1" applyAlignment="1">
      <alignment vertical="center"/>
    </xf>
    <xf numFmtId="164" fontId="57" fillId="0" borderId="10" xfId="42" applyNumberFormat="1" applyFont="1" applyBorder="1" applyAlignment="1">
      <alignment vertical="center"/>
    </xf>
    <xf numFmtId="164" fontId="12" fillId="0" borderId="23" xfId="42" applyNumberFormat="1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0" fillId="0" borderId="24" xfId="68" applyFont="1" applyBorder="1" applyAlignment="1">
      <alignment horizontal="left" vertical="center"/>
      <protection/>
    </xf>
    <xf numFmtId="0" fontId="10" fillId="0" borderId="25" xfId="68" applyFont="1" applyBorder="1" applyAlignment="1">
      <alignment vertical="center" wrapText="1"/>
      <protection/>
    </xf>
    <xf numFmtId="164" fontId="57" fillId="0" borderId="26" xfId="42" applyNumberFormat="1" applyFont="1" applyBorder="1" applyAlignment="1">
      <alignment horizontal="center" vertical="center"/>
    </xf>
    <xf numFmtId="164" fontId="57" fillId="0" borderId="27" xfId="42" applyNumberFormat="1" applyFont="1" applyBorder="1" applyAlignment="1">
      <alignment horizontal="center" vertical="center"/>
    </xf>
    <xf numFmtId="164" fontId="57" fillId="0" borderId="28" xfId="42" applyNumberFormat="1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165" fontId="9" fillId="0" borderId="21" xfId="68" applyNumberFormat="1" applyFont="1" applyFill="1" applyBorder="1" applyAlignment="1">
      <alignment horizontal="left" vertical="center"/>
      <protection/>
    </xf>
    <xf numFmtId="0" fontId="9" fillId="0" borderId="22" xfId="68" applyFont="1" applyFill="1" applyBorder="1" applyAlignment="1">
      <alignment vertical="center" wrapText="1"/>
      <protection/>
    </xf>
    <xf numFmtId="164" fontId="56" fillId="0" borderId="29" xfId="42" applyNumberFormat="1" applyFont="1" applyBorder="1" applyAlignment="1">
      <alignment horizontal="center" vertical="center"/>
    </xf>
    <xf numFmtId="164" fontId="56" fillId="0" borderId="30" xfId="42" applyNumberFormat="1" applyFont="1" applyBorder="1" applyAlignment="1">
      <alignment horizontal="center" vertical="center"/>
    </xf>
    <xf numFmtId="164" fontId="11" fillId="0" borderId="31" xfId="0" applyNumberFormat="1" applyFont="1" applyBorder="1" applyAlignment="1">
      <alignment vertical="center"/>
    </xf>
    <xf numFmtId="164" fontId="11" fillId="0" borderId="29" xfId="0" applyNumberFormat="1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16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vertical="center" wrapText="1"/>
    </xf>
    <xf numFmtId="164" fontId="57" fillId="0" borderId="11" xfId="42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vertical="center" wrapText="1"/>
    </xf>
    <xf numFmtId="0" fontId="10" fillId="35" borderId="21" xfId="68" applyFont="1" applyFill="1" applyBorder="1" applyAlignment="1">
      <alignment horizontal="left" vertical="center"/>
      <protection/>
    </xf>
    <xf numFmtId="0" fontId="10" fillId="35" borderId="22" xfId="68" applyFont="1" applyFill="1" applyBorder="1" applyAlignment="1">
      <alignment vertical="center" wrapText="1"/>
      <protection/>
    </xf>
    <xf numFmtId="164" fontId="57" fillId="35" borderId="11" xfId="42" applyNumberFormat="1" applyFont="1" applyFill="1" applyBorder="1" applyAlignment="1">
      <alignment horizontal="center" vertical="center"/>
    </xf>
    <xf numFmtId="164" fontId="57" fillId="35" borderId="12" xfId="42" applyNumberFormat="1" applyFont="1" applyFill="1" applyBorder="1" applyAlignment="1">
      <alignment horizontal="center" vertical="center"/>
    </xf>
    <xf numFmtId="164" fontId="57" fillId="35" borderId="10" xfId="42" applyNumberFormat="1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vertical="center"/>
    </xf>
    <xf numFmtId="0" fontId="12" fillId="35" borderId="11" xfId="0" applyFont="1" applyFill="1" applyBorder="1" applyAlignment="1">
      <alignment vertical="center" wrapText="1"/>
    </xf>
    <xf numFmtId="0" fontId="12" fillId="35" borderId="12" xfId="0" applyFont="1" applyFill="1" applyBorder="1" applyAlignment="1">
      <alignment vertical="center" wrapText="1"/>
    </xf>
    <xf numFmtId="165" fontId="10" fillId="0" borderId="21" xfId="68" applyNumberFormat="1" applyFont="1" applyFill="1" applyBorder="1" applyAlignment="1">
      <alignment horizontal="left" vertical="center"/>
      <protection/>
    </xf>
    <xf numFmtId="0" fontId="10" fillId="0" borderId="22" xfId="68" applyFont="1" applyFill="1" applyBorder="1" applyAlignment="1">
      <alignment vertical="center" wrapText="1"/>
      <protection/>
    </xf>
    <xf numFmtId="164" fontId="11" fillId="0" borderId="11" xfId="42" applyNumberFormat="1" applyFont="1" applyBorder="1" applyAlignment="1">
      <alignment vertical="center"/>
    </xf>
    <xf numFmtId="164" fontId="11" fillId="0" borderId="12" xfId="42" applyNumberFormat="1" applyFont="1" applyBorder="1" applyAlignment="1">
      <alignment vertical="center"/>
    </xf>
    <xf numFmtId="164" fontId="11" fillId="0" borderId="10" xfId="42" applyNumberFormat="1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64" fontId="11" fillId="0" borderId="23" xfId="42" applyNumberFormat="1" applyFont="1" applyBorder="1" applyAlignment="1">
      <alignment vertical="center"/>
    </xf>
    <xf numFmtId="165" fontId="9" fillId="0" borderId="21" xfId="73" applyNumberFormat="1" applyFont="1" applyBorder="1" applyAlignment="1">
      <alignment horizontal="left" vertical="center"/>
      <protection/>
    </xf>
    <xf numFmtId="0" fontId="9" fillId="0" borderId="22" xfId="73" applyFont="1" applyBorder="1" applyAlignment="1">
      <alignment horizontal="left" vertical="center" wrapText="1"/>
      <protection/>
    </xf>
    <xf numFmtId="164" fontId="56" fillId="0" borderId="11" xfId="42" applyNumberFormat="1" applyFont="1" applyBorder="1" applyAlignment="1">
      <alignment vertical="center"/>
    </xf>
    <xf numFmtId="2" fontId="9" fillId="0" borderId="21" xfId="68" applyNumberFormat="1" applyFont="1" applyFill="1" applyBorder="1" applyAlignment="1">
      <alignment horizontal="left" vertical="center"/>
      <protection/>
    </xf>
    <xf numFmtId="0" fontId="9" fillId="0" borderId="22" xfId="68" applyFont="1" applyBorder="1" applyAlignment="1">
      <alignment vertical="center" wrapText="1"/>
      <protection/>
    </xf>
    <xf numFmtId="0" fontId="9" fillId="0" borderId="21" xfId="68" applyFont="1" applyBorder="1" applyAlignment="1">
      <alignment horizontal="left" vertical="center"/>
      <protection/>
    </xf>
    <xf numFmtId="164" fontId="10" fillId="0" borderId="11" xfId="42" applyNumberFormat="1" applyFont="1" applyFill="1" applyBorder="1" applyAlignment="1">
      <alignment vertical="center"/>
    </xf>
    <xf numFmtId="0" fontId="9" fillId="0" borderId="22" xfId="68" applyFont="1" applyBorder="1" applyAlignment="1">
      <alignment horizontal="left" vertical="center" wrapText="1"/>
      <protection/>
    </xf>
    <xf numFmtId="2" fontId="10" fillId="0" borderId="21" xfId="68" applyNumberFormat="1" applyFont="1" applyFill="1" applyBorder="1" applyAlignment="1">
      <alignment horizontal="left" vertical="center"/>
      <protection/>
    </xf>
    <xf numFmtId="0" fontId="9" fillId="0" borderId="21" xfId="68" applyFont="1" applyFill="1" applyBorder="1" applyAlignment="1">
      <alignment horizontal="left" vertical="center"/>
      <protection/>
    </xf>
    <xf numFmtId="0" fontId="10" fillId="0" borderId="22" xfId="68" applyFont="1" applyFill="1" applyBorder="1" applyAlignment="1">
      <alignment vertical="center"/>
      <protection/>
    </xf>
    <xf numFmtId="165" fontId="10" fillId="36" borderId="21" xfId="68" applyNumberFormat="1" applyFont="1" applyFill="1" applyBorder="1" applyAlignment="1">
      <alignment horizontal="left" vertical="center"/>
      <protection/>
    </xf>
    <xf numFmtId="0" fontId="10" fillId="36" borderId="22" xfId="68" applyFont="1" applyFill="1" applyBorder="1" applyAlignment="1">
      <alignment vertical="center" wrapText="1"/>
      <protection/>
    </xf>
    <xf numFmtId="164" fontId="10" fillId="36" borderId="11" xfId="42" applyNumberFormat="1" applyFont="1" applyFill="1" applyBorder="1" applyAlignment="1">
      <alignment vertical="center"/>
    </xf>
    <xf numFmtId="0" fontId="10" fillId="0" borderId="21" xfId="68" applyFont="1" applyFill="1" applyBorder="1" applyAlignment="1">
      <alignment horizontal="left" vertical="center"/>
      <protection/>
    </xf>
    <xf numFmtId="0" fontId="10" fillId="0" borderId="22" xfId="68" applyFont="1" applyFill="1" applyBorder="1" applyAlignment="1">
      <alignment horizontal="left" vertical="center" wrapText="1"/>
      <protection/>
    </xf>
    <xf numFmtId="0" fontId="9" fillId="0" borderId="21" xfId="68" applyFont="1" applyFill="1" applyBorder="1" applyAlignment="1">
      <alignment horizontal="left" vertical="center" wrapText="1"/>
      <protection/>
    </xf>
    <xf numFmtId="0" fontId="9" fillId="0" borderId="21" xfId="73" applyFont="1" applyBorder="1" applyAlignment="1">
      <alignment horizontal="left" vertical="center"/>
      <protection/>
    </xf>
    <xf numFmtId="0" fontId="9" fillId="36" borderId="21" xfId="68" applyFont="1" applyFill="1" applyBorder="1" applyAlignment="1">
      <alignment horizontal="left" vertical="center"/>
      <protection/>
    </xf>
    <xf numFmtId="164" fontId="56" fillId="0" borderId="11" xfId="42" applyNumberFormat="1" applyFont="1" applyFill="1" applyBorder="1" applyAlignment="1">
      <alignment vertical="center"/>
    </xf>
    <xf numFmtId="0" fontId="9" fillId="34" borderId="22" xfId="68" applyFont="1" applyFill="1" applyBorder="1" applyAlignment="1">
      <alignment horizontal="left" vertical="center" wrapText="1"/>
      <protection/>
    </xf>
    <xf numFmtId="0" fontId="10" fillId="36" borderId="21" xfId="68" applyFont="1" applyFill="1" applyBorder="1" applyAlignment="1">
      <alignment horizontal="left" vertical="center"/>
      <protection/>
    </xf>
    <xf numFmtId="0" fontId="9" fillId="34" borderId="22" xfId="73" applyFont="1" applyFill="1" applyBorder="1" applyAlignment="1">
      <alignment horizontal="left" vertical="center" wrapText="1"/>
      <protection/>
    </xf>
    <xf numFmtId="0" fontId="9" fillId="0" borderId="22" xfId="68" applyFont="1" applyFill="1" applyBorder="1" applyAlignment="1">
      <alignment horizontal="left" vertical="center" wrapText="1"/>
      <protection/>
    </xf>
    <xf numFmtId="164" fontId="57" fillId="0" borderId="11" xfId="42" applyNumberFormat="1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64" fontId="10" fillId="0" borderId="11" xfId="42" applyNumberFormat="1" applyFont="1" applyFill="1" applyBorder="1" applyAlignment="1">
      <alignment horizontal="left" vertical="center"/>
    </xf>
    <xf numFmtId="165" fontId="9" fillId="0" borderId="21" xfId="73" applyNumberFormat="1" applyFont="1" applyFill="1" applyBorder="1" applyAlignment="1">
      <alignment horizontal="left" vertical="center"/>
      <protection/>
    </xf>
    <xf numFmtId="0" fontId="59" fillId="0" borderId="21" xfId="68" applyFont="1" applyFill="1" applyBorder="1" applyAlignment="1">
      <alignment horizontal="left" vertical="center"/>
      <protection/>
    </xf>
    <xf numFmtId="0" fontId="10" fillId="37" borderId="21" xfId="68" applyFont="1" applyFill="1" applyBorder="1" applyAlignment="1">
      <alignment horizontal="left" vertical="center"/>
      <protection/>
    </xf>
    <xf numFmtId="0" fontId="10" fillId="37" borderId="22" xfId="68" applyFont="1" applyFill="1" applyBorder="1" applyAlignment="1">
      <alignment vertical="center" wrapText="1"/>
      <protection/>
    </xf>
    <xf numFmtId="164" fontId="57" fillId="37" borderId="11" xfId="42" applyNumberFormat="1" applyFont="1" applyFill="1" applyBorder="1" applyAlignment="1">
      <alignment vertical="center"/>
    </xf>
    <xf numFmtId="0" fontId="16" fillId="0" borderId="22" xfId="0" applyFont="1" applyBorder="1" applyAlignment="1">
      <alignment horizontal="left" vertical="center"/>
    </xf>
    <xf numFmtId="0" fontId="10" fillId="37" borderId="32" xfId="68" applyFont="1" applyFill="1" applyBorder="1" applyAlignment="1">
      <alignment horizontal="left" vertical="center"/>
      <protection/>
    </xf>
    <xf numFmtId="0" fontId="10" fillId="37" borderId="33" xfId="68" applyFont="1" applyFill="1" applyBorder="1" applyAlignment="1">
      <alignment vertical="center" wrapText="1"/>
      <protection/>
    </xf>
    <xf numFmtId="164" fontId="57" fillId="37" borderId="14" xfId="42" applyNumberFormat="1" applyFont="1" applyFill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9" fillId="0" borderId="0" xfId="68" applyFont="1" applyBorder="1" applyAlignment="1">
      <alignment horizontal="left" vertical="center"/>
      <protection/>
    </xf>
    <xf numFmtId="0" fontId="10" fillId="0" borderId="0" xfId="68" applyFont="1" applyFill="1" applyBorder="1" applyAlignment="1">
      <alignment horizontal="left" vertical="center" wrapText="1"/>
      <protection/>
    </xf>
    <xf numFmtId="164" fontId="56" fillId="0" borderId="0" xfId="42" applyNumberFormat="1" applyFont="1" applyBorder="1" applyAlignment="1">
      <alignment vertical="center"/>
    </xf>
    <xf numFmtId="164" fontId="11" fillId="0" borderId="0" xfId="42" applyNumberFormat="1" applyFont="1" applyAlignment="1">
      <alignment vertical="center"/>
    </xf>
    <xf numFmtId="0" fontId="9" fillId="0" borderId="0" xfId="68" applyFont="1" applyBorder="1" applyAlignment="1">
      <alignment vertical="center" wrapText="1"/>
      <protection/>
    </xf>
    <xf numFmtId="0" fontId="53" fillId="0" borderId="0" xfId="68" applyFont="1" applyBorder="1" applyAlignment="1">
      <alignment vertical="center"/>
      <protection/>
    </xf>
    <xf numFmtId="164" fontId="54" fillId="0" borderId="34" xfId="46" applyNumberFormat="1" applyFont="1" applyBorder="1" applyAlignment="1">
      <alignment vertical="center" wrapText="1"/>
    </xf>
    <xf numFmtId="164" fontId="54" fillId="0" borderId="35" xfId="46" applyNumberFormat="1" applyFont="1" applyBorder="1" applyAlignment="1">
      <alignment vertical="center" wrapText="1"/>
    </xf>
    <xf numFmtId="164" fontId="54" fillId="0" borderId="36" xfId="46" applyNumberFormat="1" applyFont="1" applyBorder="1" applyAlignment="1">
      <alignment vertical="center" wrapText="1"/>
    </xf>
    <xf numFmtId="164" fontId="54" fillId="0" borderId="37" xfId="53" applyNumberFormat="1" applyFont="1" applyBorder="1" applyAlignment="1">
      <alignment vertical="center" wrapText="1"/>
    </xf>
    <xf numFmtId="164" fontId="5" fillId="0" borderId="38" xfId="46" applyNumberFormat="1" applyFont="1" applyBorder="1" applyAlignment="1">
      <alignment horizontal="center" vertical="center"/>
    </xf>
    <xf numFmtId="164" fontId="5" fillId="0" borderId="11" xfId="46" applyNumberFormat="1" applyFont="1" applyBorder="1" applyAlignment="1">
      <alignment horizontal="center" vertical="center"/>
    </xf>
    <xf numFmtId="164" fontId="5" fillId="0" borderId="38" xfId="46" applyNumberFormat="1" applyFont="1" applyBorder="1" applyAlignment="1">
      <alignment vertical="center"/>
    </xf>
    <xf numFmtId="164" fontId="5" fillId="0" borderId="11" xfId="46" applyNumberFormat="1" applyFont="1" applyBorder="1" applyAlignment="1">
      <alignment vertical="center"/>
    </xf>
    <xf numFmtId="164" fontId="54" fillId="0" borderId="38" xfId="46" applyNumberFormat="1" applyFont="1" applyBorder="1" applyAlignment="1">
      <alignment vertical="center"/>
    </xf>
    <xf numFmtId="164" fontId="54" fillId="0" borderId="22" xfId="46" applyNumberFormat="1" applyFont="1" applyBorder="1" applyAlignment="1">
      <alignment vertical="center"/>
    </xf>
    <xf numFmtId="164" fontId="54" fillId="0" borderId="11" xfId="46" applyNumberFormat="1" applyFont="1" applyBorder="1" applyAlignment="1">
      <alignment vertical="center"/>
    </xf>
    <xf numFmtId="164" fontId="54" fillId="0" borderId="39" xfId="53" applyNumberFormat="1" applyFont="1" applyBorder="1" applyAlignment="1">
      <alignment vertical="center"/>
    </xf>
    <xf numFmtId="0" fontId="54" fillId="0" borderId="0" xfId="68" applyFont="1" applyBorder="1" applyAlignment="1">
      <alignment vertical="center"/>
      <protection/>
    </xf>
    <xf numFmtId="165" fontId="5" fillId="0" borderId="40" xfId="68" applyNumberFormat="1" applyFont="1" applyFill="1" applyBorder="1" applyAlignment="1">
      <alignment horizontal="left" vertical="center"/>
      <protection/>
    </xf>
    <xf numFmtId="0" fontId="5" fillId="0" borderId="22" xfId="68" applyFont="1" applyFill="1" applyBorder="1" applyAlignment="1">
      <alignment horizontal="left" vertical="center" wrapText="1"/>
      <protection/>
    </xf>
    <xf numFmtId="0" fontId="5" fillId="0" borderId="11" xfId="68" applyFont="1" applyFill="1" applyBorder="1" applyAlignment="1">
      <alignment horizontal="left" vertical="center"/>
      <protection/>
    </xf>
    <xf numFmtId="0" fontId="5" fillId="0" borderId="39" xfId="68" applyFont="1" applyFill="1" applyBorder="1" applyAlignment="1">
      <alignment horizontal="left" vertical="center"/>
      <protection/>
    </xf>
    <xf numFmtId="0" fontId="5" fillId="0" borderId="38" xfId="68" applyFont="1" applyFill="1" applyBorder="1" applyAlignment="1">
      <alignment horizontal="left" vertical="center"/>
      <protection/>
    </xf>
    <xf numFmtId="0" fontId="5" fillId="0" borderId="22" xfId="68" applyFont="1" applyFill="1" applyBorder="1" applyAlignment="1">
      <alignment horizontal="left" vertical="center"/>
      <protection/>
    </xf>
    <xf numFmtId="0" fontId="5" fillId="0" borderId="41" xfId="68" applyFont="1" applyFill="1" applyBorder="1" applyAlignment="1">
      <alignment horizontal="left" vertical="center"/>
      <protection/>
    </xf>
    <xf numFmtId="0" fontId="53" fillId="0" borderId="0" xfId="68" applyFont="1" applyFill="1" applyBorder="1" applyAlignment="1">
      <alignment vertical="center"/>
      <protection/>
    </xf>
    <xf numFmtId="165" fontId="17" fillId="0" borderId="40" xfId="73" applyNumberFormat="1" applyFont="1" applyBorder="1" applyAlignment="1">
      <alignment horizontal="left" vertical="center"/>
      <protection/>
    </xf>
    <xf numFmtId="0" fontId="17" fillId="0" borderId="22" xfId="73" applyFont="1" applyBorder="1" applyAlignment="1">
      <alignment horizontal="left" vertical="center" wrapText="1"/>
      <protection/>
    </xf>
    <xf numFmtId="164" fontId="17" fillId="34" borderId="11" xfId="44" applyNumberFormat="1" applyFont="1" applyFill="1" applyBorder="1" applyAlignment="1">
      <alignment horizontal="left" vertical="center"/>
    </xf>
    <xf numFmtId="164" fontId="17" fillId="0" borderId="39" xfId="44" applyNumberFormat="1" applyFont="1" applyBorder="1" applyAlignment="1">
      <alignment horizontal="left" vertical="center" wrapText="1"/>
    </xf>
    <xf numFmtId="164" fontId="17" fillId="34" borderId="38" xfId="44" applyNumberFormat="1" applyFont="1" applyFill="1" applyBorder="1" applyAlignment="1">
      <alignment horizontal="left" vertical="center"/>
    </xf>
    <xf numFmtId="164" fontId="17" fillId="34" borderId="11" xfId="44" applyNumberFormat="1" applyFont="1" applyFill="1" applyBorder="1" applyAlignment="1">
      <alignment horizontal="center" vertical="center"/>
    </xf>
    <xf numFmtId="164" fontId="17" fillId="34" borderId="39" xfId="44" applyNumberFormat="1" applyFont="1" applyFill="1" applyBorder="1" applyAlignment="1">
      <alignment horizontal="center" vertical="center"/>
    </xf>
    <xf numFmtId="164" fontId="17" fillId="34" borderId="22" xfId="44" applyNumberFormat="1" applyFont="1" applyFill="1" applyBorder="1" applyAlignment="1">
      <alignment horizontal="left" vertical="center"/>
    </xf>
    <xf numFmtId="164" fontId="17" fillId="34" borderId="41" xfId="44" applyNumberFormat="1" applyFont="1" applyFill="1" applyBorder="1" applyAlignment="1">
      <alignment horizontal="left" vertical="center"/>
    </xf>
    <xf numFmtId="164" fontId="53" fillId="0" borderId="39" xfId="68" applyNumberFormat="1" applyFont="1" applyBorder="1" applyAlignment="1">
      <alignment horizontal="left" vertical="center"/>
      <protection/>
    </xf>
    <xf numFmtId="0" fontId="53" fillId="0" borderId="0" xfId="68" applyFont="1" applyAlignment="1">
      <alignment horizontal="left" vertical="center"/>
      <protection/>
    </xf>
    <xf numFmtId="2" fontId="17" fillId="0" borderId="40" xfId="68" applyNumberFormat="1" applyFont="1" applyFill="1" applyBorder="1" applyAlignment="1">
      <alignment horizontal="left" vertical="center"/>
      <protection/>
    </xf>
    <xf numFmtId="0" fontId="17" fillId="0" borderId="22" xfId="68" applyFont="1" applyBorder="1" applyAlignment="1">
      <alignment vertical="center" wrapText="1"/>
      <protection/>
    </xf>
    <xf numFmtId="164" fontId="17" fillId="0" borderId="11" xfId="46" applyNumberFormat="1" applyFont="1" applyBorder="1" applyAlignment="1">
      <alignment vertical="center"/>
    </xf>
    <xf numFmtId="164" fontId="17" fillId="0" borderId="39" xfId="46" applyNumberFormat="1" applyFont="1" applyFill="1" applyBorder="1" applyAlignment="1">
      <alignment vertical="center"/>
    </xf>
    <xf numFmtId="164" fontId="17" fillId="0" borderId="38" xfId="46" applyNumberFormat="1" applyFont="1" applyFill="1" applyBorder="1" applyAlignment="1">
      <alignment horizontal="center" vertical="center"/>
    </xf>
    <xf numFmtId="164" fontId="17" fillId="0" borderId="11" xfId="46" applyNumberFormat="1" applyFont="1" applyFill="1" applyBorder="1" applyAlignment="1">
      <alignment horizontal="center" vertical="center"/>
    </xf>
    <xf numFmtId="164" fontId="17" fillId="0" borderId="11" xfId="46" applyNumberFormat="1" applyFont="1" applyBorder="1" applyAlignment="1">
      <alignment horizontal="center" vertical="center"/>
    </xf>
    <xf numFmtId="164" fontId="17" fillId="0" borderId="39" xfId="46" applyNumberFormat="1" applyFont="1" applyBorder="1" applyAlignment="1">
      <alignment vertical="center"/>
    </xf>
    <xf numFmtId="164" fontId="53" fillId="0" borderId="38" xfId="46" applyNumberFormat="1" applyFont="1" applyBorder="1" applyAlignment="1">
      <alignment vertical="center"/>
    </xf>
    <xf numFmtId="164" fontId="53" fillId="0" borderId="11" xfId="46" applyNumberFormat="1" applyFont="1" applyBorder="1" applyAlignment="1">
      <alignment vertical="center"/>
    </xf>
    <xf numFmtId="164" fontId="53" fillId="0" borderId="41" xfId="46" applyNumberFormat="1" applyFont="1" applyBorder="1" applyAlignment="1">
      <alignment vertical="center"/>
    </xf>
    <xf numFmtId="164" fontId="17" fillId="34" borderId="39" xfId="44" applyNumberFormat="1" applyFont="1" applyFill="1" applyBorder="1" applyAlignment="1">
      <alignment horizontal="left" vertical="center"/>
    </xf>
    <xf numFmtId="0" fontId="17" fillId="0" borderId="40" xfId="68" applyFont="1" applyBorder="1" applyAlignment="1">
      <alignment horizontal="left" vertical="center"/>
      <protection/>
    </xf>
    <xf numFmtId="0" fontId="5" fillId="0" borderId="22" xfId="68" applyFont="1" applyFill="1" applyBorder="1" applyAlignment="1">
      <alignment vertical="center" wrapText="1"/>
      <protection/>
    </xf>
    <xf numFmtId="164" fontId="5" fillId="0" borderId="11" xfId="46" applyNumberFormat="1" applyFont="1" applyFill="1" applyBorder="1" applyAlignment="1">
      <alignment vertical="center"/>
    </xf>
    <xf numFmtId="164" fontId="5" fillId="0" borderId="39" xfId="46" applyNumberFormat="1" applyFont="1" applyFill="1" applyBorder="1" applyAlignment="1">
      <alignment vertical="center"/>
    </xf>
    <xf numFmtId="164" fontId="5" fillId="0" borderId="38" xfId="46" applyNumberFormat="1" applyFont="1" applyFill="1" applyBorder="1" applyAlignment="1">
      <alignment vertical="center"/>
    </xf>
    <xf numFmtId="164" fontId="53" fillId="0" borderId="0" xfId="68" applyNumberFormat="1" applyFont="1" applyBorder="1" applyAlignment="1">
      <alignment vertical="center"/>
      <protection/>
    </xf>
    <xf numFmtId="165" fontId="17" fillId="0" borderId="40" xfId="68" applyNumberFormat="1" applyFont="1" applyFill="1" applyBorder="1" applyAlignment="1">
      <alignment horizontal="left" vertical="center"/>
      <protection/>
    </xf>
    <xf numFmtId="0" fontId="17" fillId="0" borderId="22" xfId="68" applyFont="1" applyBorder="1" applyAlignment="1">
      <alignment horizontal="left" vertical="center" wrapText="1"/>
      <protection/>
    </xf>
    <xf numFmtId="164" fontId="17" fillId="0" borderId="11" xfId="44" applyNumberFormat="1" applyFont="1" applyFill="1" applyBorder="1" applyAlignment="1">
      <alignment vertical="center"/>
    </xf>
    <xf numFmtId="164" fontId="17" fillId="0" borderId="39" xfId="44" applyNumberFormat="1" applyFont="1" applyFill="1" applyBorder="1" applyAlignment="1">
      <alignment vertical="center"/>
    </xf>
    <xf numFmtId="164" fontId="17" fillId="0" borderId="38" xfId="44" applyNumberFormat="1" applyFont="1" applyFill="1" applyBorder="1" applyAlignment="1">
      <alignment vertical="center"/>
    </xf>
    <xf numFmtId="0" fontId="53" fillId="0" borderId="0" xfId="68" applyFont="1" applyFill="1" applyAlignment="1">
      <alignment horizontal="left" vertical="center"/>
      <protection/>
    </xf>
    <xf numFmtId="0" fontId="17" fillId="0" borderId="22" xfId="68" applyFont="1" applyFill="1" applyBorder="1" applyAlignment="1">
      <alignment vertical="center" wrapText="1"/>
      <protection/>
    </xf>
    <xf numFmtId="164" fontId="17" fillId="0" borderId="11" xfId="46" applyNumberFormat="1" applyFont="1" applyFill="1" applyBorder="1" applyAlignment="1">
      <alignment vertical="center"/>
    </xf>
    <xf numFmtId="164" fontId="17" fillId="0" borderId="39" xfId="46" applyNumberFormat="1" applyFont="1" applyFill="1" applyBorder="1" applyAlignment="1">
      <alignment horizontal="right" vertical="center"/>
    </xf>
    <xf numFmtId="164" fontId="17" fillId="0" borderId="38" xfId="46" applyNumberFormat="1" applyFont="1" applyFill="1" applyBorder="1" applyAlignment="1">
      <alignment horizontal="center" vertical="center" wrapText="1"/>
    </xf>
    <xf numFmtId="164" fontId="17" fillId="0" borderId="11" xfId="46" applyNumberFormat="1" applyFont="1" applyFill="1" applyBorder="1" applyAlignment="1">
      <alignment horizontal="center" vertical="center" wrapText="1"/>
    </xf>
    <xf numFmtId="0" fontId="17" fillId="0" borderId="0" xfId="68" applyFont="1" applyFill="1" applyBorder="1" applyAlignment="1">
      <alignment vertical="center"/>
      <protection/>
    </xf>
    <xf numFmtId="164" fontId="17" fillId="0" borderId="11" xfId="44" applyNumberFormat="1" applyFont="1" applyFill="1" applyBorder="1" applyAlignment="1">
      <alignment horizontal="left" vertical="center"/>
    </xf>
    <xf numFmtId="164" fontId="17" fillId="0" borderId="38" xfId="44" applyNumberFormat="1" applyFont="1" applyBorder="1" applyAlignment="1">
      <alignment horizontal="left" vertical="center" wrapText="1"/>
    </xf>
    <xf numFmtId="164" fontId="17" fillId="0" borderId="11" xfId="44" applyNumberFormat="1" applyFont="1" applyBorder="1" applyAlignment="1">
      <alignment horizontal="left" vertical="center" wrapText="1"/>
    </xf>
    <xf numFmtId="2" fontId="5" fillId="0" borderId="40" xfId="68" applyNumberFormat="1" applyFont="1" applyFill="1" applyBorder="1" applyAlignment="1">
      <alignment horizontal="left" vertical="center"/>
      <protection/>
    </xf>
    <xf numFmtId="164" fontId="17" fillId="0" borderId="39" xfId="44" applyNumberFormat="1" applyFont="1" applyBorder="1" applyAlignment="1">
      <alignment horizontal="left" vertical="center"/>
    </xf>
    <xf numFmtId="164" fontId="17" fillId="0" borderId="38" xfId="44" applyNumberFormat="1" applyFont="1" applyBorder="1" applyAlignment="1">
      <alignment horizontal="left" vertical="center"/>
    </xf>
    <xf numFmtId="164" fontId="17" fillId="0" borderId="11" xfId="44" applyNumberFormat="1" applyFont="1" applyBorder="1" applyAlignment="1">
      <alignment horizontal="left" vertical="center"/>
    </xf>
    <xf numFmtId="164" fontId="17" fillId="0" borderId="38" xfId="46" applyNumberFormat="1" applyFont="1" applyFill="1" applyBorder="1" applyAlignment="1">
      <alignment horizontal="left" vertical="center"/>
    </xf>
    <xf numFmtId="164" fontId="17" fillId="0" borderId="11" xfId="46" applyNumberFormat="1" applyFont="1" applyFill="1" applyBorder="1" applyAlignment="1">
      <alignment horizontal="left" vertical="center"/>
    </xf>
    <xf numFmtId="0" fontId="17" fillId="0" borderId="40" xfId="68" applyFont="1" applyFill="1" applyBorder="1" applyAlignment="1">
      <alignment horizontal="left" vertical="center"/>
      <protection/>
    </xf>
    <xf numFmtId="164" fontId="17" fillId="0" borderId="39" xfId="44" applyNumberFormat="1" applyFont="1" applyFill="1" applyBorder="1" applyAlignment="1">
      <alignment horizontal="left" vertical="center"/>
    </xf>
    <xf numFmtId="164" fontId="17" fillId="0" borderId="38" xfId="44" applyNumberFormat="1" applyFont="1" applyFill="1" applyBorder="1" applyAlignment="1">
      <alignment horizontal="left" vertical="center"/>
    </xf>
    <xf numFmtId="164" fontId="17" fillId="0" borderId="38" xfId="46" applyNumberFormat="1" applyFont="1" applyFill="1" applyBorder="1" applyAlignment="1">
      <alignment vertical="center"/>
    </xf>
    <xf numFmtId="165" fontId="5" fillId="36" borderId="40" xfId="68" applyNumberFormat="1" applyFont="1" applyFill="1" applyBorder="1" applyAlignment="1">
      <alignment horizontal="left" vertical="center"/>
      <protection/>
    </xf>
    <xf numFmtId="0" fontId="5" fillId="36" borderId="22" xfId="68" applyFont="1" applyFill="1" applyBorder="1" applyAlignment="1">
      <alignment vertical="center" wrapText="1"/>
      <protection/>
    </xf>
    <xf numFmtId="164" fontId="5" fillId="36" borderId="11" xfId="46" applyNumberFormat="1" applyFont="1" applyFill="1" applyBorder="1" applyAlignment="1">
      <alignment vertical="center"/>
    </xf>
    <xf numFmtId="164" fontId="5" fillId="36" borderId="39" xfId="46" applyNumberFormat="1" applyFont="1" applyFill="1" applyBorder="1" applyAlignment="1">
      <alignment vertical="center"/>
    </xf>
    <xf numFmtId="164" fontId="5" fillId="36" borderId="38" xfId="46" applyNumberFormat="1" applyFont="1" applyFill="1" applyBorder="1" applyAlignment="1">
      <alignment vertical="center"/>
    </xf>
    <xf numFmtId="0" fontId="5" fillId="0" borderId="40" xfId="68" applyFont="1" applyFill="1" applyBorder="1" applyAlignment="1">
      <alignment horizontal="left" vertical="center"/>
      <protection/>
    </xf>
    <xf numFmtId="0" fontId="17" fillId="0" borderId="40" xfId="68" applyFont="1" applyFill="1" applyBorder="1" applyAlignment="1">
      <alignment horizontal="left" vertical="center" wrapText="1"/>
      <protection/>
    </xf>
    <xf numFmtId="0" fontId="17" fillId="0" borderId="40" xfId="73" applyFont="1" applyBorder="1" applyAlignment="1">
      <alignment horizontal="left" vertical="center"/>
      <protection/>
    </xf>
    <xf numFmtId="0" fontId="5" fillId="0" borderId="11" xfId="68" applyFont="1" applyFill="1" applyBorder="1" applyAlignment="1">
      <alignment horizontal="left" vertical="center" wrapText="1"/>
      <protection/>
    </xf>
    <xf numFmtId="0" fontId="5" fillId="0" borderId="39" xfId="68" applyFont="1" applyFill="1" applyBorder="1" applyAlignment="1">
      <alignment horizontal="left" vertical="center" wrapText="1"/>
      <protection/>
    </xf>
    <xf numFmtId="0" fontId="5" fillId="0" borderId="38" xfId="68" applyFont="1" applyFill="1" applyBorder="1" applyAlignment="1">
      <alignment horizontal="left" vertical="center" wrapText="1"/>
      <protection/>
    </xf>
    <xf numFmtId="0" fontId="5" fillId="0" borderId="41" xfId="68" applyFont="1" applyFill="1" applyBorder="1" applyAlignment="1">
      <alignment horizontal="left" vertical="center" wrapText="1"/>
      <protection/>
    </xf>
    <xf numFmtId="0" fontId="17" fillId="36" borderId="40" xfId="68" applyFont="1" applyFill="1" applyBorder="1" applyAlignment="1">
      <alignment horizontal="left" vertical="center"/>
      <protection/>
    </xf>
    <xf numFmtId="164" fontId="5" fillId="34" borderId="39" xfId="44" applyNumberFormat="1" applyFont="1" applyFill="1" applyBorder="1" applyAlignment="1">
      <alignment horizontal="center" vertical="center"/>
    </xf>
    <xf numFmtId="164" fontId="53" fillId="0" borderId="38" xfId="46" applyNumberFormat="1" applyFont="1" applyFill="1" applyBorder="1" applyAlignment="1">
      <alignment vertical="center"/>
    </xf>
    <xf numFmtId="164" fontId="53" fillId="0" borderId="22" xfId="46" applyNumberFormat="1" applyFont="1" applyFill="1" applyBorder="1" applyAlignment="1">
      <alignment vertical="center"/>
    </xf>
    <xf numFmtId="164" fontId="53" fillId="0" borderId="11" xfId="46" applyNumberFormat="1" applyFont="1" applyFill="1" applyBorder="1" applyAlignment="1">
      <alignment vertical="center"/>
    </xf>
    <xf numFmtId="164" fontId="53" fillId="0" borderId="41" xfId="46" applyNumberFormat="1" applyFont="1" applyFill="1" applyBorder="1" applyAlignment="1">
      <alignment vertical="center"/>
    </xf>
    <xf numFmtId="164" fontId="53" fillId="0" borderId="39" xfId="53" applyNumberFormat="1" applyFont="1" applyFill="1" applyBorder="1" applyAlignment="1">
      <alignment vertical="center"/>
    </xf>
    <xf numFmtId="0" fontId="17" fillId="34" borderId="22" xfId="68" applyFont="1" applyFill="1" applyBorder="1" applyAlignment="1">
      <alignment horizontal="left" vertical="center" wrapText="1"/>
      <protection/>
    </xf>
    <xf numFmtId="0" fontId="5" fillId="36" borderId="40" xfId="68" applyFont="1" applyFill="1" applyBorder="1" applyAlignment="1">
      <alignment horizontal="left" vertical="center"/>
      <protection/>
    </xf>
    <xf numFmtId="0" fontId="17" fillId="34" borderId="22" xfId="73" applyFont="1" applyFill="1" applyBorder="1" applyAlignment="1">
      <alignment horizontal="left" vertical="center" wrapText="1"/>
      <protection/>
    </xf>
    <xf numFmtId="0" fontId="17" fillId="0" borderId="22" xfId="68" applyFont="1" applyFill="1" applyBorder="1" applyAlignment="1">
      <alignment horizontal="left" vertical="center" wrapText="1"/>
      <protection/>
    </xf>
    <xf numFmtId="164" fontId="17" fillId="0" borderId="39" xfId="46" applyNumberFormat="1" applyFont="1" applyFill="1" applyBorder="1" applyAlignment="1">
      <alignment horizontal="left" vertical="center"/>
    </xf>
    <xf numFmtId="164" fontId="17" fillId="0" borderId="22" xfId="46" applyNumberFormat="1" applyFont="1" applyFill="1" applyBorder="1" applyAlignment="1">
      <alignment horizontal="left" vertical="center"/>
    </xf>
    <xf numFmtId="164" fontId="5" fillId="0" borderId="39" xfId="46" applyNumberFormat="1" applyFont="1" applyFill="1" applyBorder="1" applyAlignment="1">
      <alignment horizontal="left" vertical="center"/>
    </xf>
    <xf numFmtId="164" fontId="5" fillId="0" borderId="38" xfId="46" applyNumberFormat="1" applyFont="1" applyFill="1" applyBorder="1" applyAlignment="1">
      <alignment horizontal="left" vertical="center"/>
    </xf>
    <xf numFmtId="164" fontId="5" fillId="0" borderId="11" xfId="46" applyNumberFormat="1" applyFont="1" applyFill="1" applyBorder="1" applyAlignment="1">
      <alignment horizontal="left" vertical="center"/>
    </xf>
    <xf numFmtId="165" fontId="17" fillId="0" borderId="40" xfId="73" applyNumberFormat="1" applyFont="1" applyFill="1" applyBorder="1" applyAlignment="1">
      <alignment horizontal="left" vertical="center"/>
      <protection/>
    </xf>
    <xf numFmtId="164" fontId="17" fillId="0" borderId="11" xfId="46" applyNumberFormat="1" applyFont="1" applyFill="1" applyBorder="1" applyAlignment="1">
      <alignment horizontal="left" vertical="center" wrapText="1"/>
    </xf>
    <xf numFmtId="0" fontId="17" fillId="0" borderId="0" xfId="68" applyFont="1" applyAlignment="1">
      <alignment horizontal="left" vertical="center"/>
      <protection/>
    </xf>
    <xf numFmtId="0" fontId="17" fillId="38" borderId="40" xfId="68" applyFont="1" applyFill="1" applyBorder="1" applyAlignment="1">
      <alignment horizontal="left" vertical="center"/>
      <protection/>
    </xf>
    <xf numFmtId="0" fontId="5" fillId="37" borderId="40" xfId="68" applyFont="1" applyFill="1" applyBorder="1" applyAlignment="1">
      <alignment horizontal="left" vertical="center"/>
      <protection/>
    </xf>
    <xf numFmtId="0" fontId="5" fillId="37" borderId="22" xfId="68" applyFont="1" applyFill="1" applyBorder="1" applyAlignment="1">
      <alignment vertical="center" wrapText="1"/>
      <protection/>
    </xf>
    <xf numFmtId="164" fontId="54" fillId="37" borderId="11" xfId="46" applyNumberFormat="1" applyFont="1" applyFill="1" applyBorder="1" applyAlignment="1">
      <alignment vertical="center"/>
    </xf>
    <xf numFmtId="0" fontId="18" fillId="0" borderId="22" xfId="0" applyFont="1" applyBorder="1" applyAlignment="1">
      <alignment horizontal="left" vertical="center" wrapText="1"/>
    </xf>
    <xf numFmtId="0" fontId="5" fillId="37" borderId="42" xfId="68" applyFont="1" applyFill="1" applyBorder="1" applyAlignment="1">
      <alignment horizontal="left" vertical="center"/>
      <protection/>
    </xf>
    <xf numFmtId="0" fontId="5" fillId="37" borderId="43" xfId="68" applyFont="1" applyFill="1" applyBorder="1" applyAlignment="1">
      <alignment vertical="center" wrapText="1"/>
      <protection/>
    </xf>
    <xf numFmtId="164" fontId="54" fillId="37" borderId="44" xfId="46" applyNumberFormat="1" applyFont="1" applyFill="1" applyBorder="1" applyAlignment="1">
      <alignment vertical="center"/>
    </xf>
    <xf numFmtId="164" fontId="54" fillId="37" borderId="45" xfId="46" applyNumberFormat="1" applyFont="1" applyFill="1" applyBorder="1" applyAlignment="1">
      <alignment vertical="center"/>
    </xf>
    <xf numFmtId="164" fontId="54" fillId="37" borderId="46" xfId="46" applyNumberFormat="1" applyFont="1" applyFill="1" applyBorder="1" applyAlignment="1">
      <alignment vertical="center"/>
    </xf>
    <xf numFmtId="0" fontId="5" fillId="0" borderId="47" xfId="68" applyFont="1" applyBorder="1" applyAlignment="1">
      <alignment horizontal="left" vertical="center"/>
      <protection/>
    </xf>
    <xf numFmtId="0" fontId="5" fillId="0" borderId="48" xfId="68" applyFont="1" applyBorder="1" applyAlignment="1">
      <alignment vertical="center" wrapText="1"/>
      <protection/>
    </xf>
    <xf numFmtId="164" fontId="5" fillId="0" borderId="49" xfId="46" applyNumberFormat="1" applyFont="1" applyBorder="1" applyAlignment="1">
      <alignment vertical="center"/>
    </xf>
    <xf numFmtId="164" fontId="5" fillId="0" borderId="50" xfId="46" applyNumberFormat="1" applyFont="1" applyBorder="1" applyAlignment="1">
      <alignment vertical="center"/>
    </xf>
    <xf numFmtId="164" fontId="5" fillId="0" borderId="51" xfId="46" applyNumberFormat="1" applyFont="1" applyBorder="1" applyAlignment="1">
      <alignment vertical="center"/>
    </xf>
    <xf numFmtId="164" fontId="54" fillId="0" borderId="51" xfId="46" applyNumberFormat="1" applyFont="1" applyBorder="1" applyAlignment="1">
      <alignment vertical="center"/>
    </xf>
    <xf numFmtId="164" fontId="54" fillId="0" borderId="49" xfId="46" applyNumberFormat="1" applyFont="1" applyBorder="1" applyAlignment="1">
      <alignment vertical="center"/>
    </xf>
    <xf numFmtId="164" fontId="54" fillId="0" borderId="52" xfId="46" applyNumberFormat="1" applyFont="1" applyBorder="1" applyAlignment="1">
      <alignment vertical="center"/>
    </xf>
    <xf numFmtId="164" fontId="54" fillId="0" borderId="50" xfId="53" applyNumberFormat="1" applyFont="1" applyBorder="1" applyAlignment="1">
      <alignment vertical="center"/>
    </xf>
    <xf numFmtId="0" fontId="17" fillId="0" borderId="0" xfId="68" applyFont="1" applyBorder="1" applyAlignment="1">
      <alignment horizontal="left" vertical="center"/>
      <protection/>
    </xf>
    <xf numFmtId="164" fontId="17" fillId="0" borderId="0" xfId="46" applyNumberFormat="1" applyFont="1" applyBorder="1" applyAlignment="1">
      <alignment vertical="center"/>
    </xf>
    <xf numFmtId="164" fontId="5" fillId="0" borderId="0" xfId="46" applyNumberFormat="1" applyFont="1" applyBorder="1" applyAlignment="1">
      <alignment vertical="center"/>
    </xf>
    <xf numFmtId="164" fontId="53" fillId="0" borderId="0" xfId="46" applyNumberFormat="1" applyFont="1" applyBorder="1" applyAlignment="1">
      <alignment vertical="center"/>
    </xf>
    <xf numFmtId="164" fontId="53" fillId="0" borderId="0" xfId="53" applyNumberFormat="1" applyFont="1" applyBorder="1" applyAlignment="1">
      <alignment vertical="center"/>
    </xf>
    <xf numFmtId="0" fontId="17" fillId="0" borderId="0" xfId="68" applyFont="1" applyBorder="1" applyAlignment="1">
      <alignment vertical="center" wrapText="1"/>
      <protection/>
    </xf>
    <xf numFmtId="43" fontId="0" fillId="0" borderId="0" xfId="0" applyNumberFormat="1" applyAlignment="1">
      <alignment/>
    </xf>
    <xf numFmtId="164" fontId="12" fillId="0" borderId="0" xfId="0" applyNumberFormat="1" applyFont="1" applyAlignment="1">
      <alignment vertical="center"/>
    </xf>
    <xf numFmtId="0" fontId="9" fillId="0" borderId="10" xfId="67" applyFont="1" applyFill="1" applyBorder="1" applyAlignment="1">
      <alignment horizontal="left" vertical="center"/>
      <protection/>
    </xf>
    <xf numFmtId="43" fontId="9" fillId="0" borderId="12" xfId="44" applyFont="1" applyFill="1" applyBorder="1" applyAlignment="1">
      <alignment vertical="center"/>
    </xf>
    <xf numFmtId="164" fontId="56" fillId="0" borderId="29" xfId="42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43" fontId="36" fillId="0" borderId="0" xfId="50" applyFont="1" applyAlignment="1">
      <alignment/>
    </xf>
    <xf numFmtId="43" fontId="9" fillId="0" borderId="0" xfId="42" applyFont="1" applyAlignment="1">
      <alignment vertical="center"/>
    </xf>
    <xf numFmtId="43" fontId="9" fillId="38" borderId="0" xfId="67" applyNumberFormat="1" applyFont="1" applyFill="1" applyAlignment="1">
      <alignment vertical="center"/>
      <protection/>
    </xf>
    <xf numFmtId="43" fontId="9" fillId="0" borderId="0" xfId="67" applyNumberFormat="1" applyFont="1" applyFill="1" applyAlignment="1">
      <alignment vertical="center"/>
      <protection/>
    </xf>
    <xf numFmtId="164" fontId="17" fillId="0" borderId="53" xfId="44" applyNumberFormat="1" applyFont="1" applyFill="1" applyBorder="1" applyAlignment="1">
      <alignment horizontal="left" vertical="center"/>
    </xf>
    <xf numFmtId="164" fontId="17" fillId="0" borderId="41" xfId="44" applyNumberFormat="1" applyFont="1" applyFill="1" applyBorder="1" applyAlignment="1">
      <alignment horizontal="left" vertical="center"/>
    </xf>
    <xf numFmtId="0" fontId="5" fillId="0" borderId="0" xfId="68" applyFont="1" applyBorder="1" applyAlignment="1">
      <alignment horizontal="left" vertical="center"/>
      <protection/>
    </xf>
    <xf numFmtId="0" fontId="5" fillId="0" borderId="0" xfId="68" applyFont="1" applyBorder="1" applyAlignment="1">
      <alignment vertical="center" wrapText="1"/>
      <protection/>
    </xf>
    <xf numFmtId="164" fontId="54" fillId="0" borderId="0" xfId="46" applyNumberFormat="1" applyFont="1" applyBorder="1" applyAlignment="1">
      <alignment vertical="center"/>
    </xf>
    <xf numFmtId="164" fontId="54" fillId="0" borderId="0" xfId="53" applyNumberFormat="1" applyFont="1" applyBorder="1" applyAlignment="1">
      <alignment vertical="center"/>
    </xf>
    <xf numFmtId="0" fontId="56" fillId="0" borderId="0" xfId="68" applyFont="1" applyAlignment="1">
      <alignment horizontal="left" vertical="center"/>
      <protection/>
    </xf>
    <xf numFmtId="43" fontId="9" fillId="0" borderId="0" xfId="42" applyFont="1" applyAlignment="1">
      <alignment horizontal="left" vertical="center"/>
    </xf>
    <xf numFmtId="0" fontId="10" fillId="0" borderId="54" xfId="68" applyFont="1" applyBorder="1" applyAlignment="1">
      <alignment horizontal="left" vertical="center"/>
      <protection/>
    </xf>
    <xf numFmtId="0" fontId="10" fillId="0" borderId="0" xfId="68" applyFont="1" applyBorder="1" applyAlignment="1">
      <alignment horizontal="left" vertical="center"/>
      <protection/>
    </xf>
    <xf numFmtId="0" fontId="9" fillId="0" borderId="55" xfId="68" applyFont="1" applyBorder="1" applyAlignment="1">
      <alignment horizontal="left" vertical="center"/>
      <protection/>
    </xf>
    <xf numFmtId="0" fontId="10" fillId="0" borderId="56" xfId="68" applyFont="1" applyFill="1" applyBorder="1" applyAlignment="1">
      <alignment horizontal="left" vertical="center" wrapText="1"/>
      <protection/>
    </xf>
    <xf numFmtId="0" fontId="10" fillId="0" borderId="16" xfId="68" applyFont="1" applyFill="1" applyBorder="1" applyAlignment="1">
      <alignment horizontal="left" vertical="center" wrapText="1"/>
      <protection/>
    </xf>
    <xf numFmtId="0" fontId="10" fillId="0" borderId="57" xfId="68" applyFont="1" applyFill="1" applyBorder="1" applyAlignment="1">
      <alignment horizontal="left" vertical="center" wrapText="1"/>
      <protection/>
    </xf>
    <xf numFmtId="43" fontId="10" fillId="0" borderId="16" xfId="42" applyFont="1" applyFill="1" applyBorder="1" applyAlignment="1">
      <alignment horizontal="left" vertical="center" wrapText="1"/>
    </xf>
    <xf numFmtId="0" fontId="10" fillId="0" borderId="0" xfId="68" applyFont="1" applyAlignment="1">
      <alignment horizontal="left" vertical="center" wrapText="1"/>
      <protection/>
    </xf>
    <xf numFmtId="0" fontId="9" fillId="0" borderId="56" xfId="68" applyFont="1" applyBorder="1" applyAlignment="1">
      <alignment horizontal="left" vertical="center"/>
      <protection/>
    </xf>
    <xf numFmtId="0" fontId="56" fillId="0" borderId="16" xfId="68" applyFont="1" applyBorder="1" applyAlignment="1">
      <alignment horizontal="left" vertical="center" wrapText="1"/>
      <protection/>
    </xf>
    <xf numFmtId="0" fontId="9" fillId="0" borderId="57" xfId="68" applyFont="1" applyBorder="1" applyAlignment="1">
      <alignment horizontal="left" vertical="center"/>
      <protection/>
    </xf>
    <xf numFmtId="43" fontId="9" fillId="0" borderId="16" xfId="42" applyFont="1" applyBorder="1" applyAlignment="1">
      <alignment horizontal="left" vertical="center"/>
    </xf>
    <xf numFmtId="0" fontId="9" fillId="0" borderId="54" xfId="68" applyFont="1" applyBorder="1" applyAlignment="1">
      <alignment horizontal="left" vertical="center"/>
      <protection/>
    </xf>
    <xf numFmtId="0" fontId="56" fillId="0" borderId="58" xfId="68" applyFont="1" applyBorder="1" applyAlignment="1">
      <alignment horizontal="left" vertical="center" wrapText="1"/>
      <protection/>
    </xf>
    <xf numFmtId="0" fontId="9" fillId="0" borderId="59" xfId="68" applyFont="1" applyBorder="1" applyAlignment="1">
      <alignment horizontal="left" vertical="center"/>
      <protection/>
    </xf>
    <xf numFmtId="43" fontId="9" fillId="0" borderId="58" xfId="42" applyFont="1" applyBorder="1" applyAlignment="1">
      <alignment horizontal="left" vertical="center"/>
    </xf>
    <xf numFmtId="0" fontId="9" fillId="0" borderId="56" xfId="68" applyFont="1" applyBorder="1" applyAlignment="1">
      <alignment horizontal="left" vertical="center" wrapText="1"/>
      <protection/>
    </xf>
    <xf numFmtId="0" fontId="9" fillId="0" borderId="58" xfId="68" applyFont="1" applyBorder="1" applyAlignment="1">
      <alignment horizontal="left" vertical="center"/>
      <protection/>
    </xf>
    <xf numFmtId="43" fontId="9" fillId="0" borderId="60" xfId="42" applyFont="1" applyBorder="1" applyAlignment="1">
      <alignment horizontal="left" vertical="center"/>
    </xf>
    <xf numFmtId="43" fontId="9" fillId="0" borderId="59" xfId="42" applyFont="1" applyBorder="1" applyAlignment="1">
      <alignment horizontal="left" vertical="center"/>
    </xf>
    <xf numFmtId="0" fontId="9" fillId="0" borderId="0" xfId="68" applyFont="1" applyAlignment="1">
      <alignment horizontal="left" vertical="center" wrapText="1"/>
      <protection/>
    </xf>
    <xf numFmtId="0" fontId="9" fillId="0" borderId="61" xfId="68" applyFont="1" applyBorder="1" applyAlignment="1">
      <alignment horizontal="left" vertical="center" wrapText="1"/>
      <protection/>
    </xf>
    <xf numFmtId="0" fontId="9" fillId="0" borderId="62" xfId="68" applyFont="1" applyBorder="1" applyAlignment="1">
      <alignment horizontal="left" vertical="center"/>
      <protection/>
    </xf>
    <xf numFmtId="43" fontId="9" fillId="0" borderId="63" xfId="42" applyFont="1" applyBorder="1" applyAlignment="1">
      <alignment horizontal="left" vertical="center"/>
    </xf>
    <xf numFmtId="43" fontId="9" fillId="0" borderId="62" xfId="42" applyFont="1" applyBorder="1" applyAlignment="1">
      <alignment horizontal="left" vertical="center"/>
    </xf>
    <xf numFmtId="43" fontId="9" fillId="0" borderId="64" xfId="42" applyFont="1" applyBorder="1" applyAlignment="1">
      <alignment horizontal="left" vertical="center"/>
    </xf>
    <xf numFmtId="0" fontId="56" fillId="0" borderId="54" xfId="68" applyFont="1" applyBorder="1" applyAlignment="1">
      <alignment horizontal="left" vertical="center"/>
      <protection/>
    </xf>
    <xf numFmtId="0" fontId="9" fillId="0" borderId="62" xfId="68" applyFont="1" applyBorder="1" applyAlignment="1">
      <alignment horizontal="left" vertical="center" wrapText="1"/>
      <protection/>
    </xf>
    <xf numFmtId="0" fontId="56" fillId="0" borderId="64" xfId="68" applyFont="1" applyBorder="1" applyAlignment="1">
      <alignment horizontal="left" vertical="center" wrapText="1"/>
      <protection/>
    </xf>
    <xf numFmtId="0" fontId="9" fillId="0" borderId="16" xfId="68" applyFont="1" applyBorder="1" applyAlignment="1">
      <alignment horizontal="left" vertical="center" wrapText="1"/>
      <protection/>
    </xf>
    <xf numFmtId="0" fontId="9" fillId="0" borderId="57" xfId="68" applyFont="1" applyBorder="1" applyAlignment="1">
      <alignment horizontal="left" vertical="center" wrapText="1"/>
      <protection/>
    </xf>
    <xf numFmtId="43" fontId="56" fillId="0" borderId="16" xfId="42" applyFont="1" applyBorder="1" applyAlignment="1">
      <alignment horizontal="left" vertical="center"/>
    </xf>
    <xf numFmtId="0" fontId="60" fillId="0" borderId="0" xfId="68" applyFont="1" applyAlignment="1">
      <alignment horizontal="left" vertical="center"/>
      <protection/>
    </xf>
    <xf numFmtId="0" fontId="9" fillId="0" borderId="58" xfId="68" applyFont="1" applyBorder="1" applyAlignment="1">
      <alignment horizontal="left" vertical="center" wrapText="1"/>
      <protection/>
    </xf>
    <xf numFmtId="0" fontId="9" fillId="0" borderId="16" xfId="68" applyFont="1" applyBorder="1" applyAlignment="1">
      <alignment horizontal="left" vertical="center"/>
      <protection/>
    </xf>
    <xf numFmtId="0" fontId="9" fillId="0" borderId="58" xfId="68" applyFont="1" applyFill="1" applyBorder="1" applyAlignment="1">
      <alignment horizontal="left" vertical="center" wrapText="1"/>
      <protection/>
    </xf>
    <xf numFmtId="0" fontId="9" fillId="0" borderId="60" xfId="68" applyFont="1" applyBorder="1" applyAlignment="1">
      <alignment horizontal="left" vertical="center"/>
      <protection/>
    </xf>
    <xf numFmtId="0" fontId="9" fillId="0" borderId="65" xfId="68" applyFont="1" applyBorder="1" applyAlignment="1">
      <alignment horizontal="left" vertical="center"/>
      <protection/>
    </xf>
    <xf numFmtId="0" fontId="61" fillId="0" borderId="65" xfId="68" applyFont="1" applyFill="1" applyBorder="1" applyAlignment="1">
      <alignment horizontal="left" vertical="center" wrapText="1"/>
      <protection/>
    </xf>
    <xf numFmtId="0" fontId="9" fillId="0" borderId="63" xfId="68" applyFont="1" applyBorder="1" applyAlignment="1">
      <alignment horizontal="left" vertical="center"/>
      <protection/>
    </xf>
    <xf numFmtId="0" fontId="56" fillId="0" borderId="65" xfId="68" applyFont="1" applyBorder="1" applyAlignment="1">
      <alignment horizontal="left" vertical="center"/>
      <protection/>
    </xf>
    <xf numFmtId="43" fontId="9" fillId="0" borderId="56" xfId="42" applyFont="1" applyBorder="1" applyAlignment="1">
      <alignment horizontal="left" vertical="center"/>
    </xf>
    <xf numFmtId="0" fontId="56" fillId="0" borderId="62" xfId="68" applyFont="1" applyBorder="1" applyAlignment="1">
      <alignment horizontal="left" vertical="center"/>
      <protection/>
    </xf>
    <xf numFmtId="0" fontId="9" fillId="0" borderId="62" xfId="68" applyFont="1" applyFill="1" applyBorder="1" applyAlignment="1">
      <alignment horizontal="left" vertical="center" wrapText="1"/>
      <protection/>
    </xf>
    <xf numFmtId="43" fontId="9" fillId="0" borderId="61" xfId="42" applyFont="1" applyBorder="1" applyAlignment="1">
      <alignment horizontal="left" vertical="center"/>
    </xf>
    <xf numFmtId="43" fontId="56" fillId="0" borderId="0" xfId="42" applyFont="1" applyAlignment="1">
      <alignment horizontal="left" vertical="center"/>
    </xf>
    <xf numFmtId="0" fontId="10" fillId="0" borderId="66" xfId="67" applyFont="1" applyBorder="1" applyAlignment="1">
      <alignment horizontal="center" vertical="center"/>
      <protection/>
    </xf>
    <xf numFmtId="0" fontId="10" fillId="0" borderId="29" xfId="67" applyFont="1" applyBorder="1" applyAlignment="1">
      <alignment horizontal="center" vertical="center"/>
      <protection/>
    </xf>
    <xf numFmtId="0" fontId="10" fillId="0" borderId="30" xfId="67" applyFont="1" applyBorder="1" applyAlignment="1">
      <alignment horizontal="center" vertical="center"/>
      <protection/>
    </xf>
    <xf numFmtId="0" fontId="10" fillId="0" borderId="10" xfId="67" applyFont="1" applyBorder="1" applyAlignment="1">
      <alignment horizontal="center" vertical="center"/>
      <protection/>
    </xf>
    <xf numFmtId="0" fontId="10" fillId="0" borderId="11" xfId="67" applyFont="1" applyBorder="1" applyAlignment="1">
      <alignment horizontal="center" vertical="center"/>
      <protection/>
    </xf>
    <xf numFmtId="0" fontId="10" fillId="0" borderId="12" xfId="67" applyFont="1" applyBorder="1" applyAlignment="1">
      <alignment horizontal="center" vertical="center"/>
      <protection/>
    </xf>
    <xf numFmtId="0" fontId="10" fillId="0" borderId="11" xfId="67" applyFont="1" applyBorder="1" applyAlignment="1">
      <alignment horizontal="center" vertical="center" wrapText="1"/>
      <protection/>
    </xf>
    <xf numFmtId="0" fontId="10" fillId="0" borderId="11" xfId="67" applyFont="1" applyBorder="1" applyAlignment="1">
      <alignment vertical="center" wrapText="1"/>
      <protection/>
    </xf>
    <xf numFmtId="0" fontId="10" fillId="0" borderId="12" xfId="67" applyFont="1" applyBorder="1" applyAlignment="1">
      <alignment horizontal="center" vertical="center" wrapText="1"/>
      <protection/>
    </xf>
    <xf numFmtId="0" fontId="5" fillId="0" borderId="67" xfId="68" applyFont="1" applyBorder="1" applyAlignment="1">
      <alignment horizontal="center" vertical="center"/>
      <protection/>
    </xf>
    <xf numFmtId="0" fontId="5" fillId="0" borderId="68" xfId="68" applyFont="1" applyBorder="1" applyAlignment="1">
      <alignment horizontal="center" vertical="center"/>
      <protection/>
    </xf>
    <xf numFmtId="0" fontId="5" fillId="0" borderId="69" xfId="68" applyFont="1" applyBorder="1" applyAlignment="1">
      <alignment horizontal="center" vertical="center"/>
      <protection/>
    </xf>
    <xf numFmtId="0" fontId="5" fillId="0" borderId="70" xfId="68" applyFont="1" applyBorder="1" applyAlignment="1">
      <alignment horizontal="center" vertical="center"/>
      <protection/>
    </xf>
    <xf numFmtId="0" fontId="5" fillId="0" borderId="53" xfId="68" applyFont="1" applyBorder="1" applyAlignment="1">
      <alignment horizontal="center" vertical="center"/>
      <protection/>
    </xf>
    <xf numFmtId="0" fontId="5" fillId="0" borderId="23" xfId="68" applyFont="1" applyBorder="1" applyAlignment="1">
      <alignment horizontal="center" vertical="center"/>
      <protection/>
    </xf>
    <xf numFmtId="0" fontId="5" fillId="22" borderId="71" xfId="68" applyFont="1" applyFill="1" applyBorder="1" applyAlignment="1">
      <alignment horizontal="center" vertical="center"/>
      <protection/>
    </xf>
    <xf numFmtId="0" fontId="5" fillId="22" borderId="72" xfId="68" applyFont="1" applyFill="1" applyBorder="1" applyAlignment="1">
      <alignment horizontal="center" vertical="center"/>
      <protection/>
    </xf>
    <xf numFmtId="0" fontId="5" fillId="22" borderId="73" xfId="68" applyFont="1" applyFill="1" applyBorder="1" applyAlignment="1">
      <alignment horizontal="center" vertical="center"/>
      <protection/>
    </xf>
    <xf numFmtId="0" fontId="5" fillId="0" borderId="74" xfId="68" applyFont="1" applyBorder="1" applyAlignment="1">
      <alignment horizontal="center" vertical="center" wrapText="1"/>
      <protection/>
    </xf>
    <xf numFmtId="0" fontId="5" fillId="0" borderId="40" xfId="68" applyFont="1" applyBorder="1" applyAlignment="1">
      <alignment horizontal="center" vertical="center" wrapText="1"/>
      <protection/>
    </xf>
    <xf numFmtId="0" fontId="5" fillId="0" borderId="35" xfId="68" applyFont="1" applyBorder="1" applyAlignment="1">
      <alignment horizontal="left" vertical="center" wrapText="1"/>
      <protection/>
    </xf>
    <xf numFmtId="0" fontId="5" fillId="0" borderId="22" xfId="68" applyFont="1" applyBorder="1" applyAlignment="1">
      <alignment horizontal="left" vertical="center" wrapText="1"/>
      <protection/>
    </xf>
    <xf numFmtId="164" fontId="5" fillId="0" borderId="36" xfId="46" applyNumberFormat="1" applyFont="1" applyBorder="1" applyAlignment="1">
      <alignment horizontal="center" vertical="center" wrapText="1"/>
    </xf>
    <xf numFmtId="164" fontId="5" fillId="0" borderId="11" xfId="46" applyNumberFormat="1" applyFont="1" applyBorder="1" applyAlignment="1">
      <alignment horizontal="center" vertical="center" wrapText="1"/>
    </xf>
    <xf numFmtId="164" fontId="5" fillId="0" borderId="75" xfId="46" applyNumberFormat="1" applyFont="1" applyBorder="1" applyAlignment="1">
      <alignment horizontal="center" vertical="center" wrapText="1"/>
    </xf>
    <xf numFmtId="164" fontId="5" fillId="0" borderId="39" xfId="46" applyNumberFormat="1" applyFont="1" applyBorder="1" applyAlignment="1">
      <alignment horizontal="center" vertical="center" wrapText="1"/>
    </xf>
    <xf numFmtId="164" fontId="5" fillId="0" borderId="76" xfId="46" applyNumberFormat="1" applyFont="1" applyBorder="1" applyAlignment="1">
      <alignment horizontal="center" vertical="center"/>
    </xf>
    <xf numFmtId="164" fontId="5" fillId="0" borderId="77" xfId="46" applyNumberFormat="1" applyFont="1" applyBorder="1" applyAlignment="1">
      <alignment horizontal="center" vertical="center"/>
    </xf>
    <xf numFmtId="164" fontId="5" fillId="0" borderId="78" xfId="46" applyNumberFormat="1" applyFont="1" applyBorder="1" applyAlignment="1">
      <alignment horizontal="center" vertical="center"/>
    </xf>
    <xf numFmtId="164" fontId="5" fillId="0" borderId="45" xfId="46" applyNumberFormat="1" applyFont="1" applyBorder="1" applyAlignment="1">
      <alignment horizontal="center" vertical="center"/>
    </xf>
    <xf numFmtId="164" fontId="5" fillId="0" borderId="79" xfId="46" applyNumberFormat="1" applyFont="1" applyBorder="1" applyAlignment="1">
      <alignment horizontal="center" vertical="center"/>
    </xf>
    <xf numFmtId="164" fontId="54" fillId="0" borderId="80" xfId="46" applyNumberFormat="1" applyFont="1" applyBorder="1" applyAlignment="1">
      <alignment horizontal="center" vertical="center"/>
    </xf>
    <xf numFmtId="164" fontId="54" fillId="0" borderId="53" xfId="46" applyNumberFormat="1" applyFont="1" applyBorder="1" applyAlignment="1">
      <alignment horizontal="center" vertical="center"/>
    </xf>
    <xf numFmtId="164" fontId="54" fillId="0" borderId="81" xfId="46" applyNumberFormat="1" applyFont="1" applyBorder="1" applyAlignment="1">
      <alignment horizontal="center" vertical="center"/>
    </xf>
    <xf numFmtId="0" fontId="10" fillId="0" borderId="67" xfId="69" applyFont="1" applyBorder="1" applyAlignment="1">
      <alignment horizontal="left" vertical="center"/>
      <protection/>
    </xf>
    <xf numFmtId="0" fontId="10" fillId="0" borderId="68" xfId="69" applyFont="1" applyBorder="1" applyAlignment="1">
      <alignment horizontal="left" vertical="center"/>
      <protection/>
    </xf>
    <xf numFmtId="0" fontId="10" fillId="0" borderId="69" xfId="69" applyFont="1" applyBorder="1" applyAlignment="1">
      <alignment horizontal="left" vertical="center"/>
      <protection/>
    </xf>
    <xf numFmtId="0" fontId="10" fillId="0" borderId="70" xfId="69" applyFont="1" applyBorder="1" applyAlignment="1">
      <alignment horizontal="left" vertical="center"/>
      <protection/>
    </xf>
    <xf numFmtId="0" fontId="10" fillId="0" borderId="53" xfId="69" applyFont="1" applyBorder="1" applyAlignment="1">
      <alignment horizontal="left" vertical="center"/>
      <protection/>
    </xf>
    <xf numFmtId="0" fontId="10" fillId="0" borderId="23" xfId="69" applyFont="1" applyBorder="1" applyAlignment="1">
      <alignment horizontal="left" vertical="center"/>
      <protection/>
    </xf>
    <xf numFmtId="0" fontId="10" fillId="0" borderId="82" xfId="69" applyFont="1" applyBorder="1" applyAlignment="1">
      <alignment horizontal="left" vertical="center"/>
      <protection/>
    </xf>
    <xf numFmtId="0" fontId="10" fillId="0" borderId="83" xfId="69" applyFont="1" applyBorder="1" applyAlignment="1">
      <alignment horizontal="left" vertical="center"/>
      <protection/>
    </xf>
    <xf numFmtId="0" fontId="10" fillId="0" borderId="84" xfId="69" applyFont="1" applyBorder="1" applyAlignment="1">
      <alignment horizontal="left" vertical="center"/>
      <protection/>
    </xf>
    <xf numFmtId="0" fontId="10" fillId="0" borderId="29" xfId="69" applyFont="1" applyBorder="1" applyAlignment="1">
      <alignment horizontal="left" vertical="center"/>
      <protection/>
    </xf>
    <xf numFmtId="0" fontId="10" fillId="0" borderId="30" xfId="69" applyFont="1" applyBorder="1" applyAlignment="1">
      <alignment horizontal="left" vertical="center"/>
      <protection/>
    </xf>
    <xf numFmtId="164" fontId="10" fillId="0" borderId="66" xfId="42" applyNumberFormat="1" applyFont="1" applyBorder="1" applyAlignment="1">
      <alignment horizontal="left" vertical="center"/>
    </xf>
    <xf numFmtId="164" fontId="10" fillId="0" borderId="29" xfId="42" applyNumberFormat="1" applyFont="1" applyBorder="1" applyAlignment="1">
      <alignment horizontal="left" vertical="center"/>
    </xf>
    <xf numFmtId="164" fontId="10" fillId="0" borderId="30" xfId="42" applyNumberFormat="1" applyFont="1" applyBorder="1" applyAlignment="1">
      <alignment horizontal="left" vertical="center"/>
    </xf>
    <xf numFmtId="0" fontId="10" fillId="0" borderId="54" xfId="68" applyFont="1" applyBorder="1" applyAlignment="1">
      <alignment horizontal="left" vertical="center"/>
      <protection/>
    </xf>
    <xf numFmtId="0" fontId="10" fillId="0" borderId="0" xfId="68" applyFont="1" applyBorder="1" applyAlignment="1">
      <alignment horizontal="left" vertical="center"/>
      <protection/>
    </xf>
    <xf numFmtId="0" fontId="10" fillId="0" borderId="55" xfId="68" applyFont="1" applyBorder="1" applyAlignment="1">
      <alignment horizontal="left" vertical="center"/>
      <protection/>
    </xf>
    <xf numFmtId="0" fontId="5" fillId="0" borderId="66" xfId="68" applyFont="1" applyBorder="1" applyAlignment="1">
      <alignment horizontal="center" vertical="center"/>
      <protection/>
    </xf>
    <xf numFmtId="0" fontId="5" fillId="0" borderId="29" xfId="68" applyFont="1" applyBorder="1" applyAlignment="1">
      <alignment horizontal="center" vertical="center"/>
      <protection/>
    </xf>
    <xf numFmtId="0" fontId="5" fillId="0" borderId="30" xfId="68" applyFont="1" applyBorder="1" applyAlignment="1">
      <alignment horizontal="center" vertical="center"/>
      <protection/>
    </xf>
    <xf numFmtId="0" fontId="5" fillId="0" borderId="10" xfId="68" applyFont="1" applyBorder="1" applyAlignment="1">
      <alignment horizontal="center" vertical="center"/>
      <protection/>
    </xf>
    <xf numFmtId="0" fontId="5" fillId="0" borderId="11" xfId="68" applyFont="1" applyBorder="1" applyAlignment="1">
      <alignment horizontal="center" vertical="center"/>
      <protection/>
    </xf>
    <xf numFmtId="0" fontId="5" fillId="0" borderId="12" xfId="68" applyFont="1" applyBorder="1" applyAlignment="1">
      <alignment horizontal="center" vertical="center"/>
      <protection/>
    </xf>
    <xf numFmtId="0" fontId="3" fillId="0" borderId="10" xfId="68" applyFont="1" applyBorder="1" applyAlignment="1">
      <alignment horizontal="center" vertical="center"/>
      <protection/>
    </xf>
    <xf numFmtId="0" fontId="3" fillId="0" borderId="11" xfId="68" applyFont="1" applyBorder="1" applyAlignment="1">
      <alignment horizontal="center" vertical="center"/>
      <protection/>
    </xf>
    <xf numFmtId="0" fontId="3" fillId="0" borderId="12" xfId="68" applyFont="1" applyBorder="1" applyAlignment="1">
      <alignment horizontal="center" vertical="center"/>
      <protection/>
    </xf>
    <xf numFmtId="0" fontId="3" fillId="0" borderId="10" xfId="68" applyFont="1" applyBorder="1" applyAlignment="1">
      <alignment horizontal="left" vertical="center"/>
      <protection/>
    </xf>
    <xf numFmtId="0" fontId="54" fillId="0" borderId="11" xfId="68" applyFont="1" applyBorder="1" applyAlignment="1">
      <alignment horizontal="center" vertical="center" wrapText="1"/>
      <protection/>
    </xf>
    <xf numFmtId="0" fontId="3" fillId="0" borderId="12" xfId="68" applyFont="1" applyBorder="1" applyAlignment="1">
      <alignment horizontal="center" vertical="center" wrapText="1"/>
      <protection/>
    </xf>
    <xf numFmtId="0" fontId="54" fillId="0" borderId="12" xfId="68" applyFont="1" applyBorder="1" applyAlignment="1">
      <alignment vertical="center" wrapText="1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2 5" xfId="48"/>
    <cellStyle name="Comma 2 6" xfId="49"/>
    <cellStyle name="Comma 3" xfId="50"/>
    <cellStyle name="Comma 3 2" xfId="51"/>
    <cellStyle name="Comma 4" xfId="52"/>
    <cellStyle name="Comma 5" xfId="53"/>
    <cellStyle name="Comma 7" xfId="54"/>
    <cellStyle name="Comma 8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2" xfId="67"/>
    <cellStyle name="Normal 2 2" xfId="68"/>
    <cellStyle name="Normal 2 3" xfId="69"/>
    <cellStyle name="Normal 2 4" xfId="70"/>
    <cellStyle name="Normal 2 5" xfId="71"/>
    <cellStyle name="Normal 2 6" xfId="72"/>
    <cellStyle name="Normal 3" xfId="73"/>
    <cellStyle name="Normal 4" xfId="74"/>
    <cellStyle name="Normal 5" xfId="75"/>
    <cellStyle name="Normal 6" xfId="76"/>
    <cellStyle name="Note" xfId="77"/>
    <cellStyle name="Output" xfId="78"/>
    <cellStyle name="Percent" xfId="79"/>
    <cellStyle name="Percent 2" xfId="80"/>
    <cellStyle name="Percent 2 2" xfId="81"/>
    <cellStyle name="Percent 2 3" xfId="82"/>
    <cellStyle name="Percent 2 4" xfId="83"/>
    <cellStyle name="Percent 2 5" xfId="84"/>
    <cellStyle name="Percent 2 6" xfId="85"/>
    <cellStyle name="Percent 3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emf" /><Relationship Id="rId4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emf" /><Relationship Id="rId4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2352675</xdr:colOff>
      <xdr:row>49</xdr:row>
      <xdr:rowOff>0</xdr:rowOff>
    </xdr:from>
    <xdr:to>
      <xdr:col>2</xdr:col>
      <xdr:colOff>2352675</xdr:colOff>
      <xdr:row>49</xdr:row>
      <xdr:rowOff>381000</xdr:rowOff>
    </xdr:to>
    <xdr:pic>
      <xdr:nvPicPr>
        <xdr:cNvPr id="1" name="Picture 1" descr="IMG-20180814-WA0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54019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2400300</xdr:colOff>
      <xdr:row>51</xdr:row>
      <xdr:rowOff>0</xdr:rowOff>
    </xdr:from>
    <xdr:to>
      <xdr:col>2</xdr:col>
      <xdr:colOff>2400300</xdr:colOff>
      <xdr:row>51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164115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2962275</xdr:colOff>
      <xdr:row>51</xdr:row>
      <xdr:rowOff>0</xdr:rowOff>
    </xdr:from>
    <xdr:to>
      <xdr:col>2</xdr:col>
      <xdr:colOff>2962275</xdr:colOff>
      <xdr:row>52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1641157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2352675</xdr:colOff>
      <xdr:row>49</xdr:row>
      <xdr:rowOff>38100</xdr:rowOff>
    </xdr:from>
    <xdr:to>
      <xdr:col>2</xdr:col>
      <xdr:colOff>2352675</xdr:colOff>
      <xdr:row>49</xdr:row>
      <xdr:rowOff>419100</xdr:rowOff>
    </xdr:to>
    <xdr:pic>
      <xdr:nvPicPr>
        <xdr:cNvPr id="4" name="Picture 2" descr="IMG-20180814-WA0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54400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2352675</xdr:colOff>
      <xdr:row>49</xdr:row>
      <xdr:rowOff>38100</xdr:rowOff>
    </xdr:from>
    <xdr:to>
      <xdr:col>2</xdr:col>
      <xdr:colOff>2352675</xdr:colOff>
      <xdr:row>49</xdr:row>
      <xdr:rowOff>323850</xdr:rowOff>
    </xdr:to>
    <xdr:pic>
      <xdr:nvPicPr>
        <xdr:cNvPr id="5" name="Picture 1" descr="IMG-20180814-WA0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54400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2352675</xdr:colOff>
      <xdr:row>49</xdr:row>
      <xdr:rowOff>0</xdr:rowOff>
    </xdr:from>
    <xdr:to>
      <xdr:col>2</xdr:col>
      <xdr:colOff>2352675</xdr:colOff>
      <xdr:row>49</xdr:row>
      <xdr:rowOff>381000</xdr:rowOff>
    </xdr:to>
    <xdr:pic>
      <xdr:nvPicPr>
        <xdr:cNvPr id="6" name="Picture 1" descr="IMG-20180814-WA0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54019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2400300</xdr:colOff>
      <xdr:row>51</xdr:row>
      <xdr:rowOff>19050</xdr:rowOff>
    </xdr:from>
    <xdr:to>
      <xdr:col>2</xdr:col>
      <xdr:colOff>2400300</xdr:colOff>
      <xdr:row>51</xdr:row>
      <xdr:rowOff>314325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1643062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2352675</xdr:colOff>
      <xdr:row>49</xdr:row>
      <xdr:rowOff>0</xdr:rowOff>
    </xdr:from>
    <xdr:to>
      <xdr:col>2</xdr:col>
      <xdr:colOff>2352675</xdr:colOff>
      <xdr:row>49</xdr:row>
      <xdr:rowOff>381000</xdr:rowOff>
    </xdr:to>
    <xdr:pic>
      <xdr:nvPicPr>
        <xdr:cNvPr id="8" name="Picture 5" descr="IMG-20180814-WA0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54019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2352675</xdr:colOff>
      <xdr:row>49</xdr:row>
      <xdr:rowOff>38100</xdr:rowOff>
    </xdr:from>
    <xdr:to>
      <xdr:col>2</xdr:col>
      <xdr:colOff>2352675</xdr:colOff>
      <xdr:row>49</xdr:row>
      <xdr:rowOff>333375</xdr:rowOff>
    </xdr:to>
    <xdr:pic>
      <xdr:nvPicPr>
        <xdr:cNvPr id="9" name="Picture 1" descr="IMG-20180814-WA0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544002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2400300</xdr:colOff>
      <xdr:row>53</xdr:row>
      <xdr:rowOff>19050</xdr:rowOff>
    </xdr:from>
    <xdr:to>
      <xdr:col>2</xdr:col>
      <xdr:colOff>2400300</xdr:colOff>
      <xdr:row>53</xdr:row>
      <xdr:rowOff>304800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172212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55</xdr:row>
      <xdr:rowOff>9525</xdr:rowOff>
    </xdr:from>
    <xdr:to>
      <xdr:col>2</xdr:col>
      <xdr:colOff>1552575</xdr:colOff>
      <xdr:row>55</xdr:row>
      <xdr:rowOff>514350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" y="17840325"/>
          <a:ext cx="1295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52</xdr:row>
      <xdr:rowOff>161925</xdr:rowOff>
    </xdr:from>
    <xdr:to>
      <xdr:col>2</xdr:col>
      <xdr:colOff>1733550</xdr:colOff>
      <xdr:row>53</xdr:row>
      <xdr:rowOff>19050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887825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49</xdr:row>
      <xdr:rowOff>28575</xdr:rowOff>
    </xdr:from>
    <xdr:to>
      <xdr:col>2</xdr:col>
      <xdr:colOff>1247775</xdr:colOff>
      <xdr:row>49</xdr:row>
      <xdr:rowOff>685800</xdr:rowOff>
    </xdr:to>
    <xdr:pic>
      <xdr:nvPicPr>
        <xdr:cNvPr id="13" name="Picture 201" descr="Cheborio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3450" y="15430500"/>
          <a:ext cx="895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2362200</xdr:colOff>
      <xdr:row>51</xdr:row>
      <xdr:rowOff>9525</xdr:rowOff>
    </xdr:from>
    <xdr:to>
      <xdr:col>3</xdr:col>
      <xdr:colOff>9525</xdr:colOff>
      <xdr:row>52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164401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53</xdr:row>
      <xdr:rowOff>123825</xdr:rowOff>
    </xdr:from>
    <xdr:to>
      <xdr:col>2</xdr:col>
      <xdr:colOff>1219200</xdr:colOff>
      <xdr:row>53</xdr:row>
      <xdr:rowOff>447675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17183100"/>
          <a:ext cx="847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50</xdr:row>
      <xdr:rowOff>95250</xdr:rowOff>
    </xdr:from>
    <xdr:to>
      <xdr:col>2</xdr:col>
      <xdr:colOff>1924050</xdr:colOff>
      <xdr:row>50</xdr:row>
      <xdr:rowOff>419100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16030575"/>
          <a:ext cx="1666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46</xdr:row>
      <xdr:rowOff>295275</xdr:rowOff>
    </xdr:from>
    <xdr:to>
      <xdr:col>2</xdr:col>
      <xdr:colOff>1581150</xdr:colOff>
      <xdr:row>48</xdr:row>
      <xdr:rowOff>85725</xdr:rowOff>
    </xdr:to>
    <xdr:pic>
      <xdr:nvPicPr>
        <xdr:cNvPr id="4" name="Picture 201" descr="Cheborio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754225"/>
          <a:ext cx="1009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245</xdr:row>
      <xdr:rowOff>0</xdr:rowOff>
    </xdr:from>
    <xdr:to>
      <xdr:col>1</xdr:col>
      <xdr:colOff>2352675</xdr:colOff>
      <xdr:row>245</xdr:row>
      <xdr:rowOff>314325</xdr:rowOff>
    </xdr:to>
    <xdr:pic>
      <xdr:nvPicPr>
        <xdr:cNvPr id="1" name="Picture 2" descr="IMG-20180814-WA0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3822680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1314450</xdr:colOff>
      <xdr:row>245</xdr:row>
      <xdr:rowOff>0</xdr:rowOff>
    </xdr:from>
    <xdr:to>
      <xdr:col>3</xdr:col>
      <xdr:colOff>9525</xdr:colOff>
      <xdr:row>245</xdr:row>
      <xdr:rowOff>619125</xdr:rowOff>
    </xdr:to>
    <xdr:pic>
      <xdr:nvPicPr>
        <xdr:cNvPr id="2" name="Picture 3" descr="IMG-20180814-WA0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382268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1314450</xdr:colOff>
      <xdr:row>247</xdr:row>
      <xdr:rowOff>19050</xdr:rowOff>
    </xdr:from>
    <xdr:to>
      <xdr:col>3</xdr:col>
      <xdr:colOff>19050</xdr:colOff>
      <xdr:row>247</xdr:row>
      <xdr:rowOff>209550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139226925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1314450</xdr:colOff>
      <xdr:row>249</xdr:row>
      <xdr:rowOff>9525</xdr:rowOff>
    </xdr:from>
    <xdr:to>
      <xdr:col>3</xdr:col>
      <xdr:colOff>9525</xdr:colOff>
      <xdr:row>250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24450" y="1402270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1314450</xdr:colOff>
      <xdr:row>245</xdr:row>
      <xdr:rowOff>0</xdr:rowOff>
    </xdr:from>
    <xdr:to>
      <xdr:col>3</xdr:col>
      <xdr:colOff>9525</xdr:colOff>
      <xdr:row>245</xdr:row>
      <xdr:rowOff>619125</xdr:rowOff>
    </xdr:to>
    <xdr:pic>
      <xdr:nvPicPr>
        <xdr:cNvPr id="5" name="Picture 6" descr="IMG-20180814-WA0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382268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1314450</xdr:colOff>
      <xdr:row>245</xdr:row>
      <xdr:rowOff>38100</xdr:rowOff>
    </xdr:from>
    <xdr:to>
      <xdr:col>3</xdr:col>
      <xdr:colOff>9525</xdr:colOff>
      <xdr:row>245</xdr:row>
      <xdr:rowOff>409575</xdr:rowOff>
    </xdr:to>
    <xdr:pic>
      <xdr:nvPicPr>
        <xdr:cNvPr id="6" name="Picture 2" descr="IMG-20180814-WA0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38264900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1314450</xdr:colOff>
      <xdr:row>245</xdr:row>
      <xdr:rowOff>38100</xdr:rowOff>
    </xdr:from>
    <xdr:to>
      <xdr:col>3</xdr:col>
      <xdr:colOff>9525</xdr:colOff>
      <xdr:row>245</xdr:row>
      <xdr:rowOff>314325</xdr:rowOff>
    </xdr:to>
    <xdr:pic>
      <xdr:nvPicPr>
        <xdr:cNvPr id="7" name="Picture 1" descr="IMG-20180814-WA0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382649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1314450</xdr:colOff>
      <xdr:row>245</xdr:row>
      <xdr:rowOff>0</xdr:rowOff>
    </xdr:from>
    <xdr:to>
      <xdr:col>3</xdr:col>
      <xdr:colOff>9525</xdr:colOff>
      <xdr:row>245</xdr:row>
      <xdr:rowOff>619125</xdr:rowOff>
    </xdr:to>
    <xdr:pic>
      <xdr:nvPicPr>
        <xdr:cNvPr id="8" name="Picture 1" descr="IMG-20180814-WA0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382268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1314450</xdr:colOff>
      <xdr:row>247</xdr:row>
      <xdr:rowOff>19050</xdr:rowOff>
    </xdr:from>
    <xdr:to>
      <xdr:col>3</xdr:col>
      <xdr:colOff>19050</xdr:colOff>
      <xdr:row>247</xdr:row>
      <xdr:rowOff>314325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139226925"/>
          <a:ext cx="19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1314450</xdr:colOff>
      <xdr:row>245</xdr:row>
      <xdr:rowOff>0</xdr:rowOff>
    </xdr:from>
    <xdr:to>
      <xdr:col>3</xdr:col>
      <xdr:colOff>9525</xdr:colOff>
      <xdr:row>245</xdr:row>
      <xdr:rowOff>619125</xdr:rowOff>
    </xdr:to>
    <xdr:pic>
      <xdr:nvPicPr>
        <xdr:cNvPr id="10" name="Picture 5" descr="IMG-20180814-WA0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382268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1314450</xdr:colOff>
      <xdr:row>245</xdr:row>
      <xdr:rowOff>38100</xdr:rowOff>
    </xdr:from>
    <xdr:to>
      <xdr:col>3</xdr:col>
      <xdr:colOff>9525</xdr:colOff>
      <xdr:row>245</xdr:row>
      <xdr:rowOff>323850</xdr:rowOff>
    </xdr:to>
    <xdr:pic>
      <xdr:nvPicPr>
        <xdr:cNvPr id="11" name="Picture 1" descr="IMG-20180814-WA0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38264900"/>
          <a:ext cx="9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1314450</xdr:colOff>
      <xdr:row>249</xdr:row>
      <xdr:rowOff>19050</xdr:rowOff>
    </xdr:from>
    <xdr:to>
      <xdr:col>3</xdr:col>
      <xdr:colOff>19050</xdr:colOff>
      <xdr:row>249</xdr:row>
      <xdr:rowOff>314325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140236575"/>
          <a:ext cx="19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161925</xdr:rowOff>
    </xdr:from>
    <xdr:to>
      <xdr:col>3</xdr:col>
      <xdr:colOff>0</xdr:colOff>
      <xdr:row>251</xdr:row>
      <xdr:rowOff>714375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0" y="141008100"/>
          <a:ext cx="1314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2647950</xdr:colOff>
      <xdr:row>248</xdr:row>
      <xdr:rowOff>161925</xdr:rowOff>
    </xdr:from>
    <xdr:to>
      <xdr:col>3</xdr:col>
      <xdr:colOff>104775</xdr:colOff>
      <xdr:row>248</xdr:row>
      <xdr:rowOff>523875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139684125"/>
          <a:ext cx="1419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244</xdr:row>
      <xdr:rowOff>476250</xdr:rowOff>
    </xdr:from>
    <xdr:to>
      <xdr:col>3</xdr:col>
      <xdr:colOff>0</xdr:colOff>
      <xdr:row>246</xdr:row>
      <xdr:rowOff>114300</xdr:rowOff>
    </xdr:to>
    <xdr:pic>
      <xdr:nvPicPr>
        <xdr:cNvPr id="15" name="Picture 201" descr="Cheborio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43375" y="138131550"/>
          <a:ext cx="981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253</xdr:row>
      <xdr:rowOff>38100</xdr:rowOff>
    </xdr:from>
    <xdr:to>
      <xdr:col>1</xdr:col>
      <xdr:colOff>2352675</xdr:colOff>
      <xdr:row>254</xdr:row>
      <xdr:rowOff>95250</xdr:rowOff>
    </xdr:to>
    <xdr:pic>
      <xdr:nvPicPr>
        <xdr:cNvPr id="1" name="Picture 2" descr="IMG-20180814-WA0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2985432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253</xdr:row>
      <xdr:rowOff>38100</xdr:rowOff>
    </xdr:from>
    <xdr:to>
      <xdr:col>1</xdr:col>
      <xdr:colOff>2352675</xdr:colOff>
      <xdr:row>254</xdr:row>
      <xdr:rowOff>95250</xdr:rowOff>
    </xdr:to>
    <xdr:pic>
      <xdr:nvPicPr>
        <xdr:cNvPr id="2" name="Picture 3" descr="IMG-20180814-WA0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2985432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2400300</xdr:colOff>
      <xdr:row>256</xdr:row>
      <xdr:rowOff>19050</xdr:rowOff>
    </xdr:from>
    <xdr:to>
      <xdr:col>1</xdr:col>
      <xdr:colOff>2400300</xdr:colOff>
      <xdr:row>256</xdr:row>
      <xdr:rowOff>209550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1309306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2695575</xdr:colOff>
      <xdr:row>258</xdr:row>
      <xdr:rowOff>9525</xdr:rowOff>
    </xdr:from>
    <xdr:to>
      <xdr:col>1</xdr:col>
      <xdr:colOff>2695575</xdr:colOff>
      <xdr:row>259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13154977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253</xdr:row>
      <xdr:rowOff>38100</xdr:rowOff>
    </xdr:from>
    <xdr:to>
      <xdr:col>1</xdr:col>
      <xdr:colOff>2352675</xdr:colOff>
      <xdr:row>254</xdr:row>
      <xdr:rowOff>95250</xdr:rowOff>
    </xdr:to>
    <xdr:pic>
      <xdr:nvPicPr>
        <xdr:cNvPr id="5" name="Picture 6" descr="IMG-20180814-WA0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2985432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254</xdr:row>
      <xdr:rowOff>38100</xdr:rowOff>
    </xdr:from>
    <xdr:to>
      <xdr:col>1</xdr:col>
      <xdr:colOff>2352675</xdr:colOff>
      <xdr:row>254</xdr:row>
      <xdr:rowOff>409575</xdr:rowOff>
    </xdr:to>
    <xdr:pic>
      <xdr:nvPicPr>
        <xdr:cNvPr id="6" name="Picture 2" descr="IMG-20180814-WA0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3016865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254</xdr:row>
      <xdr:rowOff>38100</xdr:rowOff>
    </xdr:from>
    <xdr:to>
      <xdr:col>1</xdr:col>
      <xdr:colOff>2352675</xdr:colOff>
      <xdr:row>254</xdr:row>
      <xdr:rowOff>314325</xdr:rowOff>
    </xdr:to>
    <xdr:pic>
      <xdr:nvPicPr>
        <xdr:cNvPr id="7" name="Picture 1" descr="IMG-20180814-WA0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3016865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253</xdr:row>
      <xdr:rowOff>38100</xdr:rowOff>
    </xdr:from>
    <xdr:to>
      <xdr:col>1</xdr:col>
      <xdr:colOff>2352675</xdr:colOff>
      <xdr:row>254</xdr:row>
      <xdr:rowOff>95250</xdr:rowOff>
    </xdr:to>
    <xdr:pic>
      <xdr:nvPicPr>
        <xdr:cNvPr id="8" name="Picture 1" descr="IMG-20180814-WA0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2985432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2400300</xdr:colOff>
      <xdr:row>256</xdr:row>
      <xdr:rowOff>19050</xdr:rowOff>
    </xdr:from>
    <xdr:to>
      <xdr:col>1</xdr:col>
      <xdr:colOff>2400300</xdr:colOff>
      <xdr:row>256</xdr:row>
      <xdr:rowOff>314325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13093065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253</xdr:row>
      <xdr:rowOff>38100</xdr:rowOff>
    </xdr:from>
    <xdr:to>
      <xdr:col>1</xdr:col>
      <xdr:colOff>2352675</xdr:colOff>
      <xdr:row>254</xdr:row>
      <xdr:rowOff>95250</xdr:rowOff>
    </xdr:to>
    <xdr:pic>
      <xdr:nvPicPr>
        <xdr:cNvPr id="10" name="Picture 5" descr="IMG-20180814-WA0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2985432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254</xdr:row>
      <xdr:rowOff>38100</xdr:rowOff>
    </xdr:from>
    <xdr:to>
      <xdr:col>1</xdr:col>
      <xdr:colOff>2352675</xdr:colOff>
      <xdr:row>254</xdr:row>
      <xdr:rowOff>323850</xdr:rowOff>
    </xdr:to>
    <xdr:pic>
      <xdr:nvPicPr>
        <xdr:cNvPr id="11" name="Picture 1" descr="IMG-20180814-WA0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301686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2400300</xdr:colOff>
      <xdr:row>258</xdr:row>
      <xdr:rowOff>19050</xdr:rowOff>
    </xdr:from>
    <xdr:to>
      <xdr:col>1</xdr:col>
      <xdr:colOff>2400300</xdr:colOff>
      <xdr:row>258</xdr:row>
      <xdr:rowOff>314325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13155930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260</xdr:row>
      <xdr:rowOff>114300</xdr:rowOff>
    </xdr:from>
    <xdr:to>
      <xdr:col>1</xdr:col>
      <xdr:colOff>1266825</xdr:colOff>
      <xdr:row>260</xdr:row>
      <xdr:rowOff>419100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132283200"/>
          <a:ext cx="857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257</xdr:row>
      <xdr:rowOff>0</xdr:rowOff>
    </xdr:from>
    <xdr:to>
      <xdr:col>1</xdr:col>
      <xdr:colOff>1924050</xdr:colOff>
      <xdr:row>258</xdr:row>
      <xdr:rowOff>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131225925"/>
          <a:ext cx="1581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590550</xdr:colOff>
      <xdr:row>254</xdr:row>
      <xdr:rowOff>38100</xdr:rowOff>
    </xdr:from>
    <xdr:to>
      <xdr:col>1</xdr:col>
      <xdr:colOff>1390650</xdr:colOff>
      <xdr:row>255</xdr:row>
      <xdr:rowOff>28575</xdr:rowOff>
    </xdr:to>
    <xdr:pic>
      <xdr:nvPicPr>
        <xdr:cNvPr id="15" name="Picture 201" descr="Cheborio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9225" y="130168650"/>
          <a:ext cx="800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2381250</xdr:colOff>
      <xdr:row>29</xdr:row>
      <xdr:rowOff>9525</xdr:rowOff>
    </xdr:from>
    <xdr:to>
      <xdr:col>2</xdr:col>
      <xdr:colOff>2381250</xdr:colOff>
      <xdr:row>30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52781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31</xdr:row>
      <xdr:rowOff>142875</xdr:rowOff>
    </xdr:from>
    <xdr:to>
      <xdr:col>2</xdr:col>
      <xdr:colOff>1695450</xdr:colOff>
      <xdr:row>31</xdr:row>
      <xdr:rowOff>514350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16040100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28</xdr:row>
      <xdr:rowOff>238125</xdr:rowOff>
    </xdr:from>
    <xdr:to>
      <xdr:col>2</xdr:col>
      <xdr:colOff>1714500</xdr:colOff>
      <xdr:row>28</xdr:row>
      <xdr:rowOff>552450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148494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742950</xdr:colOff>
      <xdr:row>25</xdr:row>
      <xdr:rowOff>19050</xdr:rowOff>
    </xdr:from>
    <xdr:to>
      <xdr:col>2</xdr:col>
      <xdr:colOff>1752600</xdr:colOff>
      <xdr:row>26</xdr:row>
      <xdr:rowOff>133350</xdr:rowOff>
    </xdr:to>
    <xdr:pic>
      <xdr:nvPicPr>
        <xdr:cNvPr id="4" name="Picture 201" descr="Cheborio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57450" y="13258800"/>
          <a:ext cx="1009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1466850</xdr:colOff>
      <xdr:row>13</xdr:row>
      <xdr:rowOff>38100</xdr:rowOff>
    </xdr:from>
    <xdr:to>
      <xdr:col>3</xdr:col>
      <xdr:colOff>9525</xdr:colOff>
      <xdr:row>14</xdr:row>
      <xdr:rowOff>95250</xdr:rowOff>
    </xdr:to>
    <xdr:pic>
      <xdr:nvPicPr>
        <xdr:cNvPr id="1" name="Picture 1" descr="IMG-20180814-WA0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585787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1466850</xdr:colOff>
      <xdr:row>16</xdr:row>
      <xdr:rowOff>19050</xdr:rowOff>
    </xdr:from>
    <xdr:to>
      <xdr:col>3</xdr:col>
      <xdr:colOff>9525</xdr:colOff>
      <xdr:row>16</xdr:row>
      <xdr:rowOff>209550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7058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1466850</xdr:colOff>
      <xdr:row>18</xdr:row>
      <xdr:rowOff>9525</xdr:rowOff>
    </xdr:from>
    <xdr:to>
      <xdr:col>3</xdr:col>
      <xdr:colOff>9525</xdr:colOff>
      <xdr:row>19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1725" y="76771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1466850</xdr:colOff>
      <xdr:row>13</xdr:row>
      <xdr:rowOff>38100</xdr:rowOff>
    </xdr:from>
    <xdr:to>
      <xdr:col>3</xdr:col>
      <xdr:colOff>9525</xdr:colOff>
      <xdr:row>14</xdr:row>
      <xdr:rowOff>95250</xdr:rowOff>
    </xdr:to>
    <xdr:pic>
      <xdr:nvPicPr>
        <xdr:cNvPr id="4" name="Picture 4" descr="IMG-20180814-WA0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585787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2352675</xdr:colOff>
      <xdr:row>14</xdr:row>
      <xdr:rowOff>38100</xdr:rowOff>
    </xdr:from>
    <xdr:to>
      <xdr:col>0</xdr:col>
      <xdr:colOff>2352675</xdr:colOff>
      <xdr:row>14</xdr:row>
      <xdr:rowOff>409575</xdr:rowOff>
    </xdr:to>
    <xdr:pic>
      <xdr:nvPicPr>
        <xdr:cNvPr id="5" name="Picture 2" descr="IMG-20180814-WA0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630555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2352675</xdr:colOff>
      <xdr:row>14</xdr:row>
      <xdr:rowOff>38100</xdr:rowOff>
    </xdr:from>
    <xdr:to>
      <xdr:col>0</xdr:col>
      <xdr:colOff>2352675</xdr:colOff>
      <xdr:row>14</xdr:row>
      <xdr:rowOff>314325</xdr:rowOff>
    </xdr:to>
    <xdr:pic>
      <xdr:nvPicPr>
        <xdr:cNvPr id="6" name="Picture 1" descr="IMG-20180814-WA0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630555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2352675</xdr:colOff>
      <xdr:row>13</xdr:row>
      <xdr:rowOff>38100</xdr:rowOff>
    </xdr:from>
    <xdr:to>
      <xdr:col>0</xdr:col>
      <xdr:colOff>2352675</xdr:colOff>
      <xdr:row>14</xdr:row>
      <xdr:rowOff>95250</xdr:rowOff>
    </xdr:to>
    <xdr:pic>
      <xdr:nvPicPr>
        <xdr:cNvPr id="7" name="Picture 1" descr="IMG-20180814-WA0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58578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2400300</xdr:colOff>
      <xdr:row>16</xdr:row>
      <xdr:rowOff>19050</xdr:rowOff>
    </xdr:from>
    <xdr:to>
      <xdr:col>0</xdr:col>
      <xdr:colOff>2400300</xdr:colOff>
      <xdr:row>16</xdr:row>
      <xdr:rowOff>314325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705802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2352675</xdr:colOff>
      <xdr:row>13</xdr:row>
      <xdr:rowOff>38100</xdr:rowOff>
    </xdr:from>
    <xdr:to>
      <xdr:col>0</xdr:col>
      <xdr:colOff>2352675</xdr:colOff>
      <xdr:row>14</xdr:row>
      <xdr:rowOff>95250</xdr:rowOff>
    </xdr:to>
    <xdr:pic>
      <xdr:nvPicPr>
        <xdr:cNvPr id="9" name="Picture 5" descr="IMG-20180814-WA0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58578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2352675</xdr:colOff>
      <xdr:row>14</xdr:row>
      <xdr:rowOff>38100</xdr:rowOff>
    </xdr:from>
    <xdr:to>
      <xdr:col>0</xdr:col>
      <xdr:colOff>2352675</xdr:colOff>
      <xdr:row>14</xdr:row>
      <xdr:rowOff>323850</xdr:rowOff>
    </xdr:to>
    <xdr:pic>
      <xdr:nvPicPr>
        <xdr:cNvPr id="10" name="Picture 1" descr="IMG-20180814-WA0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63055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2400300</xdr:colOff>
      <xdr:row>18</xdr:row>
      <xdr:rowOff>19050</xdr:rowOff>
    </xdr:from>
    <xdr:to>
      <xdr:col>0</xdr:col>
      <xdr:colOff>2400300</xdr:colOff>
      <xdr:row>18</xdr:row>
      <xdr:rowOff>314325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768667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20</xdr:row>
      <xdr:rowOff>28575</xdr:rowOff>
    </xdr:from>
    <xdr:to>
      <xdr:col>0</xdr:col>
      <xdr:colOff>1743075</xdr:colOff>
      <xdr:row>21</xdr:row>
      <xdr:rowOff>28575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5350" y="8324850"/>
          <a:ext cx="847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17</xdr:row>
      <xdr:rowOff>47625</xdr:rowOff>
    </xdr:from>
    <xdr:to>
      <xdr:col>0</xdr:col>
      <xdr:colOff>2486025</xdr:colOff>
      <xdr:row>18</xdr:row>
      <xdr:rowOff>47625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400925"/>
          <a:ext cx="1590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13</xdr:row>
      <xdr:rowOff>419100</xdr:rowOff>
    </xdr:from>
    <xdr:to>
      <xdr:col>0</xdr:col>
      <xdr:colOff>2019300</xdr:colOff>
      <xdr:row>15</xdr:row>
      <xdr:rowOff>85725</xdr:rowOff>
    </xdr:to>
    <xdr:pic>
      <xdr:nvPicPr>
        <xdr:cNvPr id="14" name="Picture 201" descr="Cheborio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6238875"/>
          <a:ext cx="1009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of.kiprop\.Trash\NSC%20ACEII%20PTRE%20Aug%202019\G:\Copy%20of%20MOI%20PTRE%20IFR%20%202017-2018_-EXT%20AUD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es of Funds as per PIM K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90" zoomScaleSheetLayoutView="90" zoomScalePageLayoutView="0" workbookViewId="0" topLeftCell="A41">
      <selection activeCell="C65" sqref="C65"/>
    </sheetView>
  </sheetViews>
  <sheetFormatPr defaultColWidth="9.140625" defaultRowHeight="24.75" customHeight="1"/>
  <cols>
    <col min="1" max="1" width="4.421875" style="66" customWidth="1"/>
    <col min="2" max="2" width="4.28125" style="66" customWidth="1"/>
    <col min="3" max="3" width="73.421875" style="67" customWidth="1"/>
    <col min="4" max="4" width="24.421875" style="24" customWidth="1"/>
    <col min="5" max="5" width="25.421875" style="24" customWidth="1"/>
    <col min="6" max="6" width="23.140625" style="24" customWidth="1"/>
    <col min="7" max="7" width="13.7109375" style="24" customWidth="1"/>
    <col min="8" max="8" width="9.140625" style="24" customWidth="1"/>
    <col min="9" max="9" width="16.421875" style="24" customWidth="1"/>
    <col min="10" max="10" width="14.00390625" style="24" bestFit="1" customWidth="1"/>
    <col min="11" max="16384" width="9.140625" style="24" customWidth="1"/>
  </cols>
  <sheetData>
    <row r="1" spans="1:5" ht="24.75" customHeight="1">
      <c r="A1" s="23"/>
      <c r="B1" s="23"/>
      <c r="C1" s="364" t="s">
        <v>0</v>
      </c>
      <c r="D1" s="365"/>
      <c r="E1" s="366"/>
    </row>
    <row r="2" spans="1:5" ht="24.75" customHeight="1">
      <c r="A2" s="23"/>
      <c r="B2" s="23"/>
      <c r="C2" s="367" t="s">
        <v>1</v>
      </c>
      <c r="D2" s="368"/>
      <c r="E2" s="369"/>
    </row>
    <row r="3" spans="1:5" ht="24.75" customHeight="1">
      <c r="A3" s="23"/>
      <c r="B3" s="23"/>
      <c r="C3" s="367" t="s">
        <v>2</v>
      </c>
      <c r="D3" s="368"/>
      <c r="E3" s="369"/>
    </row>
    <row r="4" spans="1:5" ht="24.75" customHeight="1">
      <c r="A4" s="23"/>
      <c r="B4" s="23"/>
      <c r="C4" s="367" t="s">
        <v>448</v>
      </c>
      <c r="D4" s="368"/>
      <c r="E4" s="369"/>
    </row>
    <row r="5" spans="1:5" s="27" customFormat="1" ht="24.75" customHeight="1">
      <c r="A5" s="25"/>
      <c r="B5" s="25"/>
      <c r="C5" s="26"/>
      <c r="D5" s="370" t="s">
        <v>3</v>
      </c>
      <c r="E5" s="372" t="s">
        <v>4</v>
      </c>
    </row>
    <row r="6" spans="1:5" s="27" customFormat="1" ht="24.75" customHeight="1">
      <c r="A6" s="25"/>
      <c r="B6" s="25"/>
      <c r="C6" s="26"/>
      <c r="D6" s="371"/>
      <c r="E6" s="372"/>
    </row>
    <row r="7" spans="1:9" s="27" customFormat="1" ht="24.75" customHeight="1">
      <c r="A7" s="25"/>
      <c r="B7" s="25"/>
      <c r="C7" s="26" t="s">
        <v>5</v>
      </c>
      <c r="D7" s="371"/>
      <c r="E7" s="372"/>
      <c r="G7" s="28"/>
      <c r="I7" s="29"/>
    </row>
    <row r="8" spans="1:9" s="27" customFormat="1" ht="24.75" customHeight="1">
      <c r="A8" s="25"/>
      <c r="B8" s="25"/>
      <c r="C8" s="30"/>
      <c r="D8" s="371"/>
      <c r="E8" s="372"/>
      <c r="G8" s="28"/>
      <c r="I8" s="29"/>
    </row>
    <row r="9" spans="1:9" s="27" customFormat="1" ht="24.75" customHeight="1">
      <c r="A9" s="25"/>
      <c r="B9" s="25"/>
      <c r="C9" s="26"/>
      <c r="D9" s="371"/>
      <c r="E9" s="372"/>
      <c r="G9" s="28"/>
      <c r="I9" s="29"/>
    </row>
    <row r="10" spans="1:9" ht="24.75" customHeight="1">
      <c r="A10" s="23"/>
      <c r="B10" s="23"/>
      <c r="C10" s="26" t="s">
        <v>6</v>
      </c>
      <c r="D10" s="31" t="s">
        <v>7</v>
      </c>
      <c r="E10" s="32" t="s">
        <v>7</v>
      </c>
      <c r="G10" s="28"/>
      <c r="I10" s="29"/>
    </row>
    <row r="11" spans="1:9" ht="24.75" customHeight="1">
      <c r="A11" s="23"/>
      <c r="B11" s="23"/>
      <c r="C11" s="33" t="s">
        <v>8</v>
      </c>
      <c r="D11" s="34">
        <v>0</v>
      </c>
      <c r="E11" s="35">
        <f>D40</f>
        <v>0</v>
      </c>
      <c r="G11" s="28"/>
      <c r="I11" s="29"/>
    </row>
    <row r="12" spans="1:9" ht="24.75" customHeight="1">
      <c r="A12" s="23"/>
      <c r="B12" s="23"/>
      <c r="C12" s="33" t="s">
        <v>9</v>
      </c>
      <c r="D12" s="35">
        <v>65983817.32</v>
      </c>
      <c r="E12" s="35">
        <v>65983817.32</v>
      </c>
      <c r="G12" s="28"/>
      <c r="I12" s="29"/>
    </row>
    <row r="13" spans="1:5" ht="24.75" customHeight="1">
      <c r="A13" s="23"/>
      <c r="B13" s="23"/>
      <c r="C13" s="33" t="s">
        <v>10</v>
      </c>
      <c r="D13" s="35">
        <v>156338.75</v>
      </c>
      <c r="E13" s="35">
        <v>156338.75</v>
      </c>
    </row>
    <row r="14" spans="1:5" ht="24.75" customHeight="1">
      <c r="A14" s="23"/>
      <c r="B14" s="23"/>
      <c r="C14" s="33" t="s">
        <v>11</v>
      </c>
      <c r="D14" s="35">
        <v>14902682.6</v>
      </c>
      <c r="E14" s="35">
        <v>14902682.6</v>
      </c>
    </row>
    <row r="15" spans="1:5" ht="24.75" customHeight="1">
      <c r="A15" s="23"/>
      <c r="B15" s="23"/>
      <c r="C15" s="33" t="s">
        <v>12</v>
      </c>
      <c r="D15" s="35">
        <v>1695342.45</v>
      </c>
      <c r="E15" s="35">
        <v>1695342.45</v>
      </c>
    </row>
    <row r="16" spans="1:5" s="27" customFormat="1" ht="24.75" customHeight="1">
      <c r="A16" s="25"/>
      <c r="B16" s="25"/>
      <c r="C16" s="26" t="s">
        <v>13</v>
      </c>
      <c r="D16" s="36">
        <f>SUM(D11:D15)</f>
        <v>82738181.12</v>
      </c>
      <c r="E16" s="36">
        <f>SUM(E11:E15)</f>
        <v>82738181.12</v>
      </c>
    </row>
    <row r="17" spans="1:7" ht="24.75" customHeight="1">
      <c r="A17" s="23"/>
      <c r="B17" s="23"/>
      <c r="C17" s="37"/>
      <c r="D17" s="38"/>
      <c r="E17" s="39"/>
      <c r="F17" s="304"/>
      <c r="G17" s="306"/>
    </row>
    <row r="18" spans="1:7" ht="24.75" customHeight="1">
      <c r="A18" s="23"/>
      <c r="B18" s="23"/>
      <c r="C18" s="26" t="s">
        <v>14</v>
      </c>
      <c r="D18" s="34"/>
      <c r="E18" s="35"/>
      <c r="F18" s="305"/>
      <c r="G18" s="306"/>
    </row>
    <row r="19" spans="1:7" ht="24.75" customHeight="1">
      <c r="A19" s="23"/>
      <c r="B19" s="23"/>
      <c r="C19" s="33" t="s">
        <v>8</v>
      </c>
      <c r="D19" s="34">
        <v>0</v>
      </c>
      <c r="E19" s="35">
        <v>0</v>
      </c>
      <c r="F19" s="305"/>
      <c r="G19" s="306"/>
    </row>
    <row r="20" spans="1:7" ht="24.75" customHeight="1">
      <c r="A20" s="23"/>
      <c r="B20" s="23"/>
      <c r="C20" s="33" t="s">
        <v>9</v>
      </c>
      <c r="D20" s="34"/>
      <c r="E20" s="35">
        <f>46296443.4+1315640</f>
        <v>47612083.4</v>
      </c>
      <c r="F20" s="305"/>
      <c r="G20" s="306"/>
    </row>
    <row r="21" spans="1:7" ht="24.75" customHeight="1">
      <c r="A21" s="23"/>
      <c r="B21" s="23"/>
      <c r="C21" s="33" t="s">
        <v>10</v>
      </c>
      <c r="D21" s="40">
        <v>83945</v>
      </c>
      <c r="E21" s="35">
        <f>D21+225734</f>
        <v>309679</v>
      </c>
      <c r="F21" s="299"/>
      <c r="G21" s="306"/>
    </row>
    <row r="22" spans="1:7" ht="24.75" customHeight="1">
      <c r="A22" s="23"/>
      <c r="B22" s="23"/>
      <c r="C22" s="33" t="s">
        <v>11</v>
      </c>
      <c r="D22" s="40">
        <v>1210235</v>
      </c>
      <c r="E22" s="35">
        <f>D22+19299400+504754</f>
        <v>21014389</v>
      </c>
      <c r="F22" s="305"/>
      <c r="G22" s="306"/>
    </row>
    <row r="23" spans="1:7" ht="24.75" customHeight="1">
      <c r="A23" s="23"/>
      <c r="B23" s="23"/>
      <c r="C23" s="33" t="s">
        <v>15</v>
      </c>
      <c r="D23" s="40">
        <v>1400400</v>
      </c>
      <c r="E23" s="35">
        <f>D23+1384880</f>
        <v>2785280</v>
      </c>
      <c r="F23" s="299"/>
      <c r="G23" s="306"/>
    </row>
    <row r="24" spans="1:7" ht="24.75" customHeight="1">
      <c r="A24" s="23"/>
      <c r="B24" s="23"/>
      <c r="C24" s="33" t="s">
        <v>12</v>
      </c>
      <c r="D24" s="40">
        <v>85310</v>
      </c>
      <c r="E24" s="302">
        <f>D24+331475</f>
        <v>416785</v>
      </c>
      <c r="F24" s="305"/>
      <c r="G24" s="306"/>
    </row>
    <row r="25" spans="1:6" s="27" customFormat="1" ht="24.75" customHeight="1">
      <c r="A25" s="25"/>
      <c r="B25" s="25"/>
      <c r="C25" s="26" t="s">
        <v>16</v>
      </c>
      <c r="D25" s="41">
        <f>+D16+D19+D20+D21+D22+D23+D24</f>
        <v>85518071.12</v>
      </c>
      <c r="E25" s="41">
        <f>+E16+E19+E20+E21+E22+E23+E24</f>
        <v>154876397.52</v>
      </c>
      <c r="F25" s="52"/>
    </row>
    <row r="26" spans="1:6" ht="24.75" customHeight="1">
      <c r="A26" s="23"/>
      <c r="B26" s="23"/>
      <c r="C26" s="42"/>
      <c r="D26" s="38"/>
      <c r="E26" s="39"/>
      <c r="F26" s="48"/>
    </row>
    <row r="27" spans="1:6" ht="24.75" customHeight="1">
      <c r="A27" s="23"/>
      <c r="B27" s="23"/>
      <c r="C27" s="26" t="s">
        <v>17</v>
      </c>
      <c r="D27" s="43"/>
      <c r="E27" s="44"/>
      <c r="F27" s="48"/>
    </row>
    <row r="28" spans="1:7" ht="24.75" customHeight="1">
      <c r="A28" s="23">
        <v>1</v>
      </c>
      <c r="B28" s="23"/>
      <c r="C28" s="301" t="s">
        <v>18</v>
      </c>
      <c r="D28" s="46">
        <f>+'Uses of Funds as per PIM Kshs'!C8</f>
        <v>11512765</v>
      </c>
      <c r="E28" s="35">
        <f>'Uses of Funds as per PIM Kshs'!F8</f>
        <v>22172367</v>
      </c>
      <c r="G28" s="48"/>
    </row>
    <row r="29" spans="1:5" ht="24.75" customHeight="1">
      <c r="A29" s="23">
        <v>2</v>
      </c>
      <c r="B29" s="23"/>
      <c r="C29" s="33" t="e">
        <f>'[1]Uses of Funds as per PIM KSH'!E24</f>
        <v>#REF!</v>
      </c>
      <c r="D29" s="46">
        <f>+'Uses of Funds as per PIM Kshs'!C9</f>
        <v>3403235</v>
      </c>
      <c r="E29" s="35">
        <f>'Uses of Funds as per PIM Kshs'!F9</f>
        <v>25386497</v>
      </c>
    </row>
    <row r="30" spans="1:5" ht="24.75" customHeight="1">
      <c r="A30" s="23">
        <v>3</v>
      </c>
      <c r="B30" s="23"/>
      <c r="C30" s="33" t="e">
        <f>'[1]Uses of Funds as per PIM KSH'!E25</f>
        <v>#REF!</v>
      </c>
      <c r="D30" s="46">
        <f>+'Uses of Funds as per PIM Kshs'!C10</f>
        <v>617700</v>
      </c>
      <c r="E30" s="35">
        <f>'Uses of Funds as per PIM Kshs'!F10</f>
        <v>1894724</v>
      </c>
    </row>
    <row r="31" spans="1:5" ht="24.75" customHeight="1">
      <c r="A31" s="23">
        <v>4</v>
      </c>
      <c r="B31" s="23"/>
      <c r="C31" s="33" t="e">
        <f>'[1]Uses of Funds as per PIM KSH'!E26</f>
        <v>#REF!</v>
      </c>
      <c r="D31" s="46">
        <f>+'Uses of Funds as per PIM Kshs'!C11</f>
        <v>14113092</v>
      </c>
      <c r="E31" s="35">
        <f>'Uses of Funds as per PIM Kshs'!F11</f>
        <v>30745890</v>
      </c>
    </row>
    <row r="32" spans="1:5" ht="24.75" customHeight="1">
      <c r="A32" s="23">
        <v>6</v>
      </c>
      <c r="B32" s="23"/>
      <c r="C32" s="33" t="e">
        <f>'[1]Uses of Funds as per PIM KSH'!E28</f>
        <v>#REF!</v>
      </c>
      <c r="D32" s="46">
        <f>+'Uses of Funds as per PIM Kshs'!C12</f>
        <v>0</v>
      </c>
      <c r="E32" s="35">
        <f>'Uses of Funds as per PIM Kshs'!F12</f>
        <v>0</v>
      </c>
    </row>
    <row r="33" spans="1:5" ht="24.75" customHeight="1">
      <c r="A33" s="23">
        <v>7</v>
      </c>
      <c r="B33" s="23"/>
      <c r="C33" s="33" t="e">
        <f>'[1]Uses of Funds as per PIM KSH'!E29</f>
        <v>#REF!</v>
      </c>
      <c r="D33" s="46">
        <f>+'Uses of Funds as per PIM Kshs'!C13</f>
        <v>0</v>
      </c>
      <c r="E33" s="35">
        <f>'Uses of Funds as per PIM Kshs'!F13</f>
        <v>0</v>
      </c>
    </row>
    <row r="34" spans="1:7" ht="24.75" customHeight="1">
      <c r="A34" s="23">
        <v>8</v>
      </c>
      <c r="B34" s="23"/>
      <c r="C34" s="47" t="s">
        <v>19</v>
      </c>
      <c r="D34" s="46">
        <f>+'Uses of Funds as per PIM Kshs'!C14</f>
        <v>857500</v>
      </c>
      <c r="E34" s="35">
        <f>'Uses of Funds as per PIM Kshs'!F14</f>
        <v>2391100</v>
      </c>
      <c r="G34" s="48"/>
    </row>
    <row r="35" spans="1:5" ht="24.75" customHeight="1">
      <c r="A35" s="23">
        <v>9</v>
      </c>
      <c r="B35" s="23"/>
      <c r="C35" s="47" t="s">
        <v>20</v>
      </c>
      <c r="D35" s="46">
        <f>+'Uses of Funds as per PIM Kshs'!C15</f>
        <v>4052388</v>
      </c>
      <c r="E35" s="49">
        <f>'Uses of Funds as per PIM Kshs'!F15</f>
        <v>6700493</v>
      </c>
    </row>
    <row r="36" spans="1:7" s="27" customFormat="1" ht="24.75" customHeight="1">
      <c r="A36" s="25"/>
      <c r="B36" s="25"/>
      <c r="C36" s="50" t="s">
        <v>21</v>
      </c>
      <c r="D36" s="51">
        <f>SUM(D28:D35)</f>
        <v>34556680</v>
      </c>
      <c r="E36" s="51">
        <f>SUM(E28:E35)</f>
        <v>89291071</v>
      </c>
      <c r="G36" s="52"/>
    </row>
    <row r="37" spans="1:7" s="27" customFormat="1" ht="24.75" customHeight="1">
      <c r="A37" s="25"/>
      <c r="B37" s="25"/>
      <c r="C37" s="50" t="s">
        <v>22</v>
      </c>
      <c r="D37" s="51">
        <f>D25-D36</f>
        <v>50961391.120000005</v>
      </c>
      <c r="E37" s="51">
        <f>E25-E36</f>
        <v>65585326.52000001</v>
      </c>
      <c r="F37" s="52"/>
      <c r="G37" s="52"/>
    </row>
    <row r="38" spans="1:6" s="27" customFormat="1" ht="24.75" customHeight="1">
      <c r="A38" s="25"/>
      <c r="B38" s="25"/>
      <c r="C38" s="42"/>
      <c r="D38" s="38"/>
      <c r="E38" s="39"/>
      <c r="F38" s="308"/>
    </row>
    <row r="39" spans="1:6" s="27" customFormat="1" ht="24.75" customHeight="1">
      <c r="A39" s="25"/>
      <c r="B39" s="25"/>
      <c r="C39" s="26" t="s">
        <v>23</v>
      </c>
      <c r="D39" s="53"/>
      <c r="E39" s="54"/>
      <c r="F39" s="52"/>
    </row>
    <row r="40" spans="1:5" ht="24.75" customHeight="1">
      <c r="A40" s="23"/>
      <c r="B40" s="23"/>
      <c r="C40" s="33" t="s">
        <v>8</v>
      </c>
      <c r="D40" s="55">
        <f>D11+D19</f>
        <v>0</v>
      </c>
      <c r="E40" s="56">
        <v>0</v>
      </c>
    </row>
    <row r="41" spans="1:7" ht="24.75" customHeight="1">
      <c r="A41" s="23"/>
      <c r="B41" s="23"/>
      <c r="C41" s="33" t="s">
        <v>9</v>
      </c>
      <c r="D41" s="55">
        <f>D12+D20-D36+D34+D35</f>
        <v>36337025.32</v>
      </c>
      <c r="E41" s="55">
        <f>E12+E20-E36+E34+E35</f>
        <v>33396422.72</v>
      </c>
      <c r="G41" s="48"/>
    </row>
    <row r="42" spans="1:7" ht="24.75" customHeight="1">
      <c r="A42" s="23"/>
      <c r="B42" s="23"/>
      <c r="C42" s="33" t="s">
        <v>10</v>
      </c>
      <c r="D42" s="55">
        <f>+D13+D21</f>
        <v>240283.75</v>
      </c>
      <c r="E42" s="55">
        <f>+E13+E21</f>
        <v>466017.75</v>
      </c>
      <c r="G42" s="48"/>
    </row>
    <row r="43" spans="1:7" ht="24.75" customHeight="1">
      <c r="A43" s="23"/>
      <c r="B43" s="23"/>
      <c r="C43" s="33" t="s">
        <v>11</v>
      </c>
      <c r="D43" s="55">
        <f>+D14+D22-D35</f>
        <v>12060529.6</v>
      </c>
      <c r="E43" s="55">
        <f>+E14+E22-E35</f>
        <v>29216578.6</v>
      </c>
      <c r="G43" s="48"/>
    </row>
    <row r="44" spans="1:7" ht="24.75" customHeight="1">
      <c r="A44" s="23">
        <v>8</v>
      </c>
      <c r="B44" s="23"/>
      <c r="C44" s="47" t="s">
        <v>19</v>
      </c>
      <c r="D44" s="46">
        <f>D23-D34</f>
        <v>542900</v>
      </c>
      <c r="E44" s="46">
        <f>E23-E34</f>
        <v>394180</v>
      </c>
      <c r="G44" s="48"/>
    </row>
    <row r="45" spans="1:7" ht="24.75" customHeight="1">
      <c r="A45" s="23"/>
      <c r="B45" s="23"/>
      <c r="C45" s="33" t="s">
        <v>12</v>
      </c>
      <c r="D45" s="57">
        <f>+D15+D24</f>
        <v>1780652.45</v>
      </c>
      <c r="E45" s="57">
        <f>+E15+E24</f>
        <v>2112127.45</v>
      </c>
      <c r="G45" s="48"/>
    </row>
    <row r="46" spans="1:5" s="27" customFormat="1" ht="24.75" customHeight="1" thickBot="1">
      <c r="A46" s="25"/>
      <c r="B46" s="25"/>
      <c r="C46" s="58" t="s">
        <v>24</v>
      </c>
      <c r="D46" s="59">
        <f>SUM(D40:D45)</f>
        <v>50961391.120000005</v>
      </c>
      <c r="E46" s="59">
        <f>SUM(E40:E45)</f>
        <v>65585326.52</v>
      </c>
    </row>
    <row r="47" spans="1:6" ht="24.75" customHeight="1" thickTop="1">
      <c r="A47" s="23"/>
      <c r="B47" s="23"/>
      <c r="C47" s="60" t="s">
        <v>25</v>
      </c>
      <c r="D47" s="61"/>
      <c r="E47" s="307"/>
      <c r="F47" s="48"/>
    </row>
    <row r="48" spans="1:5" ht="24.75" customHeight="1">
      <c r="A48" s="23"/>
      <c r="B48" s="23"/>
      <c r="C48" s="63"/>
      <c r="D48" s="62"/>
      <c r="E48" s="309"/>
    </row>
    <row r="49" spans="1:5" ht="24.75" customHeight="1">
      <c r="A49" s="23">
        <v>1</v>
      </c>
      <c r="B49" s="23"/>
      <c r="C49" s="64" t="s">
        <v>26</v>
      </c>
      <c r="D49" s="62"/>
      <c r="E49" s="62"/>
    </row>
    <row r="50" spans="1:5" ht="54.75" customHeight="1">
      <c r="A50" s="24"/>
      <c r="B50" s="23"/>
      <c r="C50" s="63"/>
      <c r="D50" s="61"/>
      <c r="E50" s="61"/>
    </row>
    <row r="51" spans="1:5" ht="24.75" customHeight="1">
      <c r="A51" s="24"/>
      <c r="B51" s="23"/>
      <c r="C51" s="63" t="s">
        <v>446</v>
      </c>
      <c r="D51" s="62"/>
      <c r="E51" s="62"/>
    </row>
    <row r="52" spans="1:5" ht="24.75" customHeight="1">
      <c r="A52" s="24"/>
      <c r="B52" s="23"/>
      <c r="C52" s="65" t="s">
        <v>27</v>
      </c>
      <c r="D52" s="62"/>
      <c r="E52" s="62"/>
    </row>
    <row r="53" spans="1:5" ht="37.5" customHeight="1">
      <c r="A53" s="24"/>
      <c r="B53" s="23"/>
      <c r="C53" s="63"/>
      <c r="D53" s="62"/>
      <c r="E53" s="62"/>
    </row>
    <row r="54" spans="1:5" ht="24.75" customHeight="1">
      <c r="A54" s="24"/>
      <c r="B54" s="23"/>
      <c r="C54" s="63" t="s">
        <v>28</v>
      </c>
      <c r="D54" s="62"/>
      <c r="E54" s="62"/>
    </row>
    <row r="55" spans="1:5" ht="24.75" customHeight="1">
      <c r="A55" s="24"/>
      <c r="B55" s="23"/>
      <c r="C55" s="65" t="s">
        <v>449</v>
      </c>
      <c r="D55" s="62"/>
      <c r="E55" s="62"/>
    </row>
    <row r="56" ht="42" customHeight="1">
      <c r="C56" s="63"/>
    </row>
    <row r="57" ht="24.75" customHeight="1">
      <c r="C57" s="63" t="s">
        <v>29</v>
      </c>
    </row>
    <row r="58" ht="24.75" customHeight="1">
      <c r="C58" s="65" t="s">
        <v>30</v>
      </c>
    </row>
  </sheetData>
  <sheetProtection/>
  <mergeCells count="6">
    <mergeCell ref="C1:E1"/>
    <mergeCell ref="C2:E2"/>
    <mergeCell ref="C3:E3"/>
    <mergeCell ref="C4:E4"/>
    <mergeCell ref="D5:D9"/>
    <mergeCell ref="E5:E9"/>
  </mergeCells>
  <printOptions/>
  <pageMargins left="0.31496062992125984" right="0.31496062992125984" top="0.1968503937007874" bottom="0.15748031496062992" header="0.11811023622047245" footer="0.1968503937007874"/>
  <pageSetup horizontalDpi="300" verticalDpi="300" orientation="portrait" scale="52" r:id="rId2"/>
  <colBreaks count="1" manualBreakCount="1">
    <brk id="6" max="5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6"/>
  <sheetViews>
    <sheetView view="pageBreakPreview" zoomScale="90" zoomScaleSheetLayoutView="90" zoomScalePageLayoutView="0" workbookViewId="0" topLeftCell="A30">
      <selection activeCell="E54" sqref="E54"/>
    </sheetView>
  </sheetViews>
  <sheetFormatPr defaultColWidth="9.140625" defaultRowHeight="24.75" customHeight="1"/>
  <cols>
    <col min="1" max="1" width="9.140625" style="24" customWidth="1"/>
    <col min="2" max="2" width="8.7109375" style="66" customWidth="1"/>
    <col min="3" max="3" width="35.421875" style="67" customWidth="1"/>
    <col min="4" max="4" width="25.140625" style="24" customWidth="1"/>
    <col min="5" max="5" width="22.7109375" style="24" customWidth="1"/>
    <col min="6" max="6" width="17.421875" style="24" customWidth="1"/>
    <col min="7" max="7" width="16.7109375" style="24" customWidth="1"/>
    <col min="8" max="8" width="9.140625" style="24" customWidth="1"/>
    <col min="9" max="9" width="10.140625" style="24" bestFit="1" customWidth="1"/>
    <col min="10" max="10" width="12.140625" style="24" customWidth="1"/>
    <col min="11" max="11" width="11.7109375" style="24" customWidth="1"/>
    <col min="12" max="16384" width="9.140625" style="24" customWidth="1"/>
  </cols>
  <sheetData>
    <row r="1" spans="2:5" ht="24.75" customHeight="1">
      <c r="B1" s="23"/>
      <c r="C1" s="364" t="s">
        <v>0</v>
      </c>
      <c r="D1" s="365"/>
      <c r="E1" s="366"/>
    </row>
    <row r="2" spans="2:5" ht="24.75" customHeight="1">
      <c r="B2" s="23"/>
      <c r="C2" s="367" t="s">
        <v>1</v>
      </c>
      <c r="D2" s="368"/>
      <c r="E2" s="369"/>
    </row>
    <row r="3" spans="2:5" ht="24.75" customHeight="1">
      <c r="B3" s="23"/>
      <c r="C3" s="367" t="s">
        <v>2</v>
      </c>
      <c r="D3" s="368"/>
      <c r="E3" s="369"/>
    </row>
    <row r="4" spans="2:5" ht="24.75" customHeight="1">
      <c r="B4" s="23"/>
      <c r="C4" s="367" t="s">
        <v>450</v>
      </c>
      <c r="D4" s="368"/>
      <c r="E4" s="369"/>
    </row>
    <row r="5" spans="2:5" s="27" customFormat="1" ht="24.75" customHeight="1">
      <c r="B5" s="25"/>
      <c r="C5" s="26"/>
      <c r="D5" s="370" t="s">
        <v>3</v>
      </c>
      <c r="E5" s="372" t="s">
        <v>4</v>
      </c>
    </row>
    <row r="6" spans="2:5" s="27" customFormat="1" ht="24.75" customHeight="1">
      <c r="B6" s="25"/>
      <c r="C6" s="26" t="s">
        <v>5</v>
      </c>
      <c r="D6" s="371"/>
      <c r="E6" s="372"/>
    </row>
    <row r="7" spans="2:5" s="27" customFormat="1" ht="24.75" customHeight="1">
      <c r="B7" s="25"/>
      <c r="C7" s="26"/>
      <c r="D7" s="371"/>
      <c r="E7" s="372"/>
    </row>
    <row r="8" spans="2:5" ht="24.75" customHeight="1">
      <c r="B8" s="23"/>
      <c r="C8" s="26" t="s">
        <v>6</v>
      </c>
      <c r="D8" s="31" t="s">
        <v>31</v>
      </c>
      <c r="E8" s="31" t="s">
        <v>31</v>
      </c>
    </row>
    <row r="9" spans="2:5" ht="24.75" customHeight="1">
      <c r="B9" s="23"/>
      <c r="C9" s="33" t="s">
        <v>8</v>
      </c>
      <c r="D9" s="34">
        <v>0</v>
      </c>
      <c r="E9" s="35">
        <f>D38</f>
        <v>0</v>
      </c>
    </row>
    <row r="10" spans="2:5" ht="24.75" customHeight="1">
      <c r="B10" s="23"/>
      <c r="C10" s="33" t="s">
        <v>9</v>
      </c>
      <c r="D10" s="34">
        <f>65983817.32/103.25</f>
        <v>639068.4486198548</v>
      </c>
      <c r="E10" s="34">
        <v>639068.4486198548</v>
      </c>
    </row>
    <row r="11" spans="2:5" ht="24.75" customHeight="1">
      <c r="B11" s="23"/>
      <c r="C11" s="33" t="s">
        <v>10</v>
      </c>
      <c r="D11" s="34">
        <f>156338.75/103.25</f>
        <v>1514.1767554479418</v>
      </c>
      <c r="E11" s="34">
        <v>1514.1767554479418</v>
      </c>
    </row>
    <row r="12" spans="2:5" ht="24.75" customHeight="1">
      <c r="B12" s="23"/>
      <c r="C12" s="33" t="s">
        <v>11</v>
      </c>
      <c r="D12" s="34">
        <f>14902682.6/103.25</f>
        <v>144335.90895883777</v>
      </c>
      <c r="E12" s="34">
        <v>144335.90895883777</v>
      </c>
    </row>
    <row r="13" spans="2:5" ht="24.75" customHeight="1">
      <c r="B13" s="23"/>
      <c r="C13" s="33" t="s">
        <v>12</v>
      </c>
      <c r="D13" s="34">
        <f>1695342.45/103.25</f>
        <v>16419.781598062953</v>
      </c>
      <c r="E13" s="34">
        <v>16419.781598062953</v>
      </c>
    </row>
    <row r="14" spans="2:5" s="27" customFormat="1" ht="24.75" customHeight="1">
      <c r="B14" s="25"/>
      <c r="C14" s="26" t="s">
        <v>13</v>
      </c>
      <c r="D14" s="36">
        <f>SUM(D9:D13)</f>
        <v>801338.3159322034</v>
      </c>
      <c r="E14" s="36">
        <f>SUM(E9:E13)</f>
        <v>801338.3159322034</v>
      </c>
    </row>
    <row r="15" spans="2:5" ht="24.75" customHeight="1">
      <c r="B15" s="23"/>
      <c r="C15" s="37"/>
      <c r="D15" s="38"/>
      <c r="E15" s="39"/>
    </row>
    <row r="16" spans="2:5" ht="24.75" customHeight="1">
      <c r="B16" s="23"/>
      <c r="C16" s="26" t="s">
        <v>14</v>
      </c>
      <c r="D16" s="34"/>
      <c r="E16" s="35"/>
    </row>
    <row r="17" spans="2:7" ht="24.75" customHeight="1">
      <c r="B17" s="23"/>
      <c r="C17" s="33" t="s">
        <v>8</v>
      </c>
      <c r="D17" s="34">
        <v>0</v>
      </c>
      <c r="E17" s="35">
        <v>0</v>
      </c>
      <c r="G17" s="34"/>
    </row>
    <row r="18" spans="2:11" ht="24.75" customHeight="1">
      <c r="B18" s="23"/>
      <c r="C18" s="33" t="s">
        <v>9</v>
      </c>
      <c r="D18" s="34">
        <f>'Sources and Uses of Funds KSH'!D20/103.25</f>
        <v>0</v>
      </c>
      <c r="E18" s="35">
        <f>'Sources and Uses of Funds KSH'!E20/103.25</f>
        <v>461133.97966101696</v>
      </c>
      <c r="G18" s="34"/>
      <c r="J18" s="48"/>
      <c r="K18" s="48"/>
    </row>
    <row r="19" spans="2:11" ht="24.75" customHeight="1">
      <c r="B19" s="23"/>
      <c r="C19" s="33" t="s">
        <v>10</v>
      </c>
      <c r="D19" s="34">
        <f>'Sources and Uses of Funds KSH'!D21/103.25</f>
        <v>813.0266343825666</v>
      </c>
      <c r="E19" s="35">
        <f>'Sources and Uses of Funds KSH'!E21/103.25</f>
        <v>2999.3123486682807</v>
      </c>
      <c r="G19" s="40"/>
      <c r="J19" s="48"/>
      <c r="K19" s="48"/>
    </row>
    <row r="20" spans="2:11" ht="24.75" customHeight="1">
      <c r="B20" s="23"/>
      <c r="C20" s="33" t="s">
        <v>11</v>
      </c>
      <c r="D20" s="34">
        <f>'Sources and Uses of Funds KSH'!D22/103.25</f>
        <v>11721.404358353511</v>
      </c>
      <c r="E20" s="35">
        <f>'Sources and Uses of Funds KSH'!E22/103.25</f>
        <v>203529.19128329298</v>
      </c>
      <c r="G20" s="40"/>
      <c r="J20" s="48"/>
      <c r="K20" s="48"/>
    </row>
    <row r="21" spans="2:11" ht="24.75" customHeight="1">
      <c r="B21" s="23"/>
      <c r="C21" s="33" t="s">
        <v>15</v>
      </c>
      <c r="D21" s="34">
        <f>'Sources and Uses of Funds KSH'!D23/103.25</f>
        <v>13563.19612590799</v>
      </c>
      <c r="E21" s="35">
        <f>'Sources and Uses of Funds KSH'!E23/103.25</f>
        <v>26976.077481840195</v>
      </c>
      <c r="G21" s="40"/>
      <c r="J21" s="48"/>
      <c r="K21" s="48"/>
    </row>
    <row r="22" spans="2:11" ht="24.75" customHeight="1">
      <c r="B22" s="23"/>
      <c r="C22" s="33" t="s">
        <v>12</v>
      </c>
      <c r="D22" s="34">
        <f>'Sources and Uses of Funds KSH'!D24/103.25</f>
        <v>826.2469733656175</v>
      </c>
      <c r="E22" s="35">
        <f>'Sources and Uses of Funds KSH'!E24/103.25</f>
        <v>4036.6585956416466</v>
      </c>
      <c r="G22" s="40"/>
      <c r="J22" s="48"/>
      <c r="K22" s="48"/>
    </row>
    <row r="23" spans="2:11" s="27" customFormat="1" ht="24.75" customHeight="1">
      <c r="B23" s="25"/>
      <c r="C23" s="26" t="s">
        <v>16</v>
      </c>
      <c r="D23" s="41">
        <f>+D14+D17+D18+D19+D20+D21+D22</f>
        <v>828262.190024213</v>
      </c>
      <c r="E23" s="41">
        <f>+E14+E17+E18+E19+E20+E21+E22</f>
        <v>1500013.5353026635</v>
      </c>
      <c r="J23" s="52"/>
      <c r="K23" s="52"/>
    </row>
    <row r="24" spans="2:5" ht="24.75" customHeight="1">
      <c r="B24" s="23"/>
      <c r="C24" s="42"/>
      <c r="D24" s="38"/>
      <c r="E24" s="39"/>
    </row>
    <row r="25" spans="2:5" ht="24.75" customHeight="1">
      <c r="B25" s="23"/>
      <c r="C25" s="26" t="s">
        <v>17</v>
      </c>
      <c r="D25" s="43"/>
      <c r="E25" s="44"/>
    </row>
    <row r="26" spans="2:5" ht="24.75" customHeight="1">
      <c r="B26" s="23">
        <v>1</v>
      </c>
      <c r="C26" s="45" t="s">
        <v>18</v>
      </c>
      <c r="D26" s="46">
        <f>'Sources and Uses of Funds KSH'!D28/103.25</f>
        <v>111503.77723970944</v>
      </c>
      <c r="E26" s="35">
        <f>'Sources and Uses of Funds KSH'!E28/103.25</f>
        <v>214744.4745762712</v>
      </c>
    </row>
    <row r="27" spans="2:5" ht="24.75" customHeight="1">
      <c r="B27" s="23">
        <v>2</v>
      </c>
      <c r="C27" s="33" t="e">
        <f>'[1]Uses of Funds as per PIM KSH'!E24</f>
        <v>#REF!</v>
      </c>
      <c r="D27" s="46">
        <f>'Sources and Uses of Funds KSH'!D29/103.25</f>
        <v>32961.11380145278</v>
      </c>
      <c r="E27" s="35">
        <f>'Sources and Uses of Funds KSH'!E29/103.25</f>
        <v>245874.06295399516</v>
      </c>
    </row>
    <row r="28" spans="2:5" ht="24.75" customHeight="1">
      <c r="B28" s="23">
        <v>3</v>
      </c>
      <c r="C28" s="33" t="e">
        <f>'[1]Uses of Funds as per PIM KSH'!E25</f>
        <v>#REF!</v>
      </c>
      <c r="D28" s="46">
        <f>'Sources and Uses of Funds KSH'!D30/103.25</f>
        <v>5982.566585956416</v>
      </c>
      <c r="E28" s="35">
        <f>'Sources and Uses of Funds KSH'!E30/103.25</f>
        <v>18350.837772397095</v>
      </c>
    </row>
    <row r="29" spans="2:5" ht="24.75" customHeight="1">
      <c r="B29" s="23">
        <v>4</v>
      </c>
      <c r="C29" s="33" t="e">
        <f>'[1]Uses of Funds as per PIM KSH'!E26</f>
        <v>#REF!</v>
      </c>
      <c r="D29" s="46">
        <f>'Sources and Uses of Funds KSH'!D31/103.25</f>
        <v>136688.54237288135</v>
      </c>
      <c r="E29" s="35">
        <f>'Sources and Uses of Funds KSH'!E31/103.25</f>
        <v>297781.0169491525</v>
      </c>
    </row>
    <row r="30" spans="2:5" ht="24.75" customHeight="1">
      <c r="B30" s="23">
        <v>6</v>
      </c>
      <c r="C30" s="33" t="e">
        <f>'[1]Uses of Funds as per PIM KSH'!E28</f>
        <v>#REF!</v>
      </c>
      <c r="D30" s="46">
        <f>'Sources and Uses of Funds KSH'!D32/103.25</f>
        <v>0</v>
      </c>
      <c r="E30" s="35">
        <f>'Sources and Uses of Funds KSH'!E32/103.25</f>
        <v>0</v>
      </c>
    </row>
    <row r="31" spans="2:5" ht="24.75" customHeight="1">
      <c r="B31" s="23">
        <v>7</v>
      </c>
      <c r="C31" s="33" t="e">
        <f>'[1]Uses of Funds as per PIM KSH'!E29</f>
        <v>#REF!</v>
      </c>
      <c r="D31" s="46">
        <f>'Sources and Uses of Funds KSH'!D33/103.25</f>
        <v>0</v>
      </c>
      <c r="E31" s="35">
        <f>'Sources and Uses of Funds KSH'!E33/103.25</f>
        <v>0</v>
      </c>
    </row>
    <row r="32" spans="2:5" ht="24.75" customHeight="1">
      <c r="B32" s="23">
        <v>8</v>
      </c>
      <c r="C32" s="47" t="s">
        <v>19</v>
      </c>
      <c r="D32" s="46">
        <f>'Sources and Uses of Funds KSH'!D34/103.25</f>
        <v>8305.084745762711</v>
      </c>
      <c r="E32" s="35">
        <f>'Sources and Uses of Funds KSH'!E34/103.25</f>
        <v>23158.353510895882</v>
      </c>
    </row>
    <row r="33" spans="2:5" ht="24.75" customHeight="1">
      <c r="B33" s="23">
        <v>9</v>
      </c>
      <c r="C33" s="47" t="s">
        <v>20</v>
      </c>
      <c r="D33" s="46">
        <f>'Sources and Uses of Funds KSH'!D35/103.25</f>
        <v>39248.30992736077</v>
      </c>
      <c r="E33" s="35">
        <f>'Sources and Uses of Funds KSH'!E35/103.25</f>
        <v>64895.81598062954</v>
      </c>
    </row>
    <row r="34" spans="2:5" s="27" customFormat="1" ht="24.75" customHeight="1">
      <c r="B34" s="25"/>
      <c r="C34" s="26" t="s">
        <v>21</v>
      </c>
      <c r="D34" s="68">
        <f>SUM(D26:D33)</f>
        <v>334689.3946731235</v>
      </c>
      <c r="E34" s="68">
        <f>SUM(E26:E33)</f>
        <v>864804.5617433413</v>
      </c>
    </row>
    <row r="35" spans="2:5" s="27" customFormat="1" ht="24.75" customHeight="1">
      <c r="B35" s="25"/>
      <c r="C35" s="26" t="s">
        <v>22</v>
      </c>
      <c r="D35" s="68">
        <f>D23-D34</f>
        <v>493572.79535108956</v>
      </c>
      <c r="E35" s="68">
        <f>E23-E34</f>
        <v>635208.9735593222</v>
      </c>
    </row>
    <row r="36" spans="2:5" s="27" customFormat="1" ht="24.75" customHeight="1">
      <c r="B36" s="25"/>
      <c r="C36" s="42"/>
      <c r="D36" s="38"/>
      <c r="E36" s="39"/>
    </row>
    <row r="37" spans="2:5" s="27" customFormat="1" ht="24.75" customHeight="1">
      <c r="B37" s="25"/>
      <c r="C37" s="26" t="s">
        <v>23</v>
      </c>
      <c r="D37" s="53"/>
      <c r="E37" s="54"/>
    </row>
    <row r="38" spans="2:5" ht="24.75" customHeight="1">
      <c r="B38" s="23"/>
      <c r="C38" s="33" t="s">
        <v>8</v>
      </c>
      <c r="D38" s="55">
        <f>D9+D17</f>
        <v>0</v>
      </c>
      <c r="E38" s="56">
        <f>D38</f>
        <v>0</v>
      </c>
    </row>
    <row r="39" spans="2:6" ht="24.75" customHeight="1">
      <c r="B39" s="23"/>
      <c r="C39" s="33" t="s">
        <v>9</v>
      </c>
      <c r="D39" s="55">
        <f>'Sources and Uses of Funds KSH'!D41/103.25</f>
        <v>351932.44861985475</v>
      </c>
      <c r="E39" s="56">
        <f>'Sources and Uses of Funds KSH'!E41/103.25</f>
        <v>323452.03602905566</v>
      </c>
      <c r="F39" s="55"/>
    </row>
    <row r="40" spans="2:6" ht="24.75" customHeight="1">
      <c r="B40" s="23"/>
      <c r="C40" s="33" t="s">
        <v>10</v>
      </c>
      <c r="D40" s="55">
        <f>'Sources and Uses of Funds KSH'!D42/103.25</f>
        <v>2327.2033898305085</v>
      </c>
      <c r="E40" s="56">
        <f>'Sources and Uses of Funds KSH'!E42/103.25</f>
        <v>4513.489104116223</v>
      </c>
      <c r="F40" s="55"/>
    </row>
    <row r="41" spans="2:6" ht="24.75" customHeight="1">
      <c r="B41" s="23"/>
      <c r="C41" s="33" t="s">
        <v>11</v>
      </c>
      <c r="D41" s="55">
        <f>'Sources and Uses of Funds KSH'!D43/103.25</f>
        <v>116809.00338983051</v>
      </c>
      <c r="E41" s="56">
        <f>'Sources and Uses of Funds KSH'!E43/103.25</f>
        <v>282969.2842615012</v>
      </c>
      <c r="F41" s="55"/>
    </row>
    <row r="42" spans="2:6" ht="24.75" customHeight="1">
      <c r="B42" s="23">
        <v>8</v>
      </c>
      <c r="C42" s="47" t="s">
        <v>19</v>
      </c>
      <c r="D42" s="55">
        <f>'Sources and Uses of Funds KSH'!D44/103.25</f>
        <v>5258.111380145278</v>
      </c>
      <c r="E42" s="56">
        <f>'Sources and Uses of Funds KSH'!E44/103.25</f>
        <v>3817.7239709443097</v>
      </c>
      <c r="F42" s="46"/>
    </row>
    <row r="43" spans="2:6" ht="24.75" customHeight="1">
      <c r="B43" s="23"/>
      <c r="C43" s="33" t="s">
        <v>12</v>
      </c>
      <c r="D43" s="55">
        <f>'Sources and Uses of Funds KSH'!D45/103.25</f>
        <v>17246.02857142857</v>
      </c>
      <c r="E43" s="56">
        <f>'Sources and Uses of Funds KSH'!E45/103.25</f>
        <v>20456.440193704602</v>
      </c>
      <c r="F43" s="57"/>
    </row>
    <row r="44" spans="2:5" s="27" customFormat="1" ht="24.75" customHeight="1" thickBot="1">
      <c r="B44" s="25"/>
      <c r="C44" s="58" t="s">
        <v>24</v>
      </c>
      <c r="D44" s="59">
        <f>SUM(D38:D43)</f>
        <v>493572.7953510896</v>
      </c>
      <c r="E44" s="59">
        <f>SUM(E38:E43)</f>
        <v>635208.973559322</v>
      </c>
    </row>
    <row r="45" spans="2:5" ht="24.75" customHeight="1" thickTop="1">
      <c r="B45" s="23"/>
      <c r="C45" s="60" t="s">
        <v>25</v>
      </c>
      <c r="D45" s="61">
        <f>+D44-D35</f>
        <v>0</v>
      </c>
      <c r="E45" s="62"/>
    </row>
    <row r="46" spans="2:6" ht="24.75" customHeight="1">
      <c r="B46" s="23">
        <v>1</v>
      </c>
      <c r="C46" s="64" t="s">
        <v>26</v>
      </c>
      <c r="D46" s="61"/>
      <c r="E46" s="61"/>
      <c r="F46" s="48"/>
    </row>
    <row r="47" spans="2:5" ht="24.75" customHeight="1">
      <c r="B47" s="23"/>
      <c r="C47" s="63"/>
      <c r="D47" s="62"/>
      <c r="E47" s="62"/>
    </row>
    <row r="48" spans="2:5" ht="42" customHeight="1">
      <c r="B48" s="23"/>
      <c r="C48" s="63"/>
      <c r="D48" s="61"/>
      <c r="E48" s="61"/>
    </row>
    <row r="49" spans="2:5" ht="24.75" customHeight="1">
      <c r="B49" s="23"/>
      <c r="C49" s="63" t="s">
        <v>446</v>
      </c>
      <c r="D49" s="62"/>
      <c r="E49" s="62"/>
    </row>
    <row r="50" spans="2:5" ht="24.75" customHeight="1">
      <c r="B50" s="23"/>
      <c r="C50" s="65" t="s">
        <v>27</v>
      </c>
      <c r="D50" s="62"/>
      <c r="E50" s="62"/>
    </row>
    <row r="51" spans="2:5" ht="39" customHeight="1">
      <c r="B51" s="23"/>
      <c r="C51" s="63"/>
      <c r="D51" s="62"/>
      <c r="E51" s="62"/>
    </row>
    <row r="52" spans="2:5" ht="24.75" customHeight="1">
      <c r="B52" s="23"/>
      <c r="C52" s="63" t="s">
        <v>28</v>
      </c>
      <c r="D52" s="62"/>
      <c r="E52" s="62"/>
    </row>
    <row r="53" spans="2:5" ht="24.75" customHeight="1">
      <c r="B53" s="23"/>
      <c r="C53" s="65" t="s">
        <v>449</v>
      </c>
      <c r="D53" s="62"/>
      <c r="E53" s="62"/>
    </row>
    <row r="54" ht="42" customHeight="1">
      <c r="C54" s="63"/>
    </row>
    <row r="55" ht="24.75" customHeight="1">
      <c r="C55" s="63" t="s">
        <v>29</v>
      </c>
    </row>
    <row r="56" ht="24.75" customHeight="1">
      <c r="C56" s="65" t="s">
        <v>30</v>
      </c>
    </row>
  </sheetData>
  <sheetProtection/>
  <mergeCells count="6">
    <mergeCell ref="C1:E1"/>
    <mergeCell ref="C2:E2"/>
    <mergeCell ref="C3:E3"/>
    <mergeCell ref="C4:E4"/>
    <mergeCell ref="D5:D7"/>
    <mergeCell ref="E5:E7"/>
  </mergeCells>
  <printOptions/>
  <pageMargins left="0.5118110236220472" right="0.11811023622047245" top="0.1968503937007874" bottom="0" header="0.11811023622047245" footer="0.1968503937007874"/>
  <pageSetup horizontalDpi="300" verticalDpi="300" orientation="portrait" scale="56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5"/>
  <sheetViews>
    <sheetView view="pageBreakPreview" zoomScale="60" zoomScaleNormal="90" zoomScalePageLayoutView="90" workbookViewId="0" topLeftCell="B238">
      <selection activeCell="E258" sqref="E258"/>
    </sheetView>
  </sheetViews>
  <sheetFormatPr defaultColWidth="8.7109375" defaultRowHeight="20.25" customHeight="1"/>
  <cols>
    <col min="1" max="1" width="17.421875" style="293" customWidth="1"/>
    <col min="2" max="2" width="39.7109375" style="298" customWidth="1"/>
    <col min="3" max="8" width="19.7109375" style="294" customWidth="1"/>
    <col min="9" max="9" width="19.7109375" style="295" customWidth="1"/>
    <col min="10" max="11" width="19.7109375" style="296" customWidth="1"/>
    <col min="12" max="12" width="22.7109375" style="296" customWidth="1"/>
    <col min="13" max="13" width="19.7109375" style="296" customWidth="1"/>
    <col min="14" max="14" width="19.7109375" style="297" customWidth="1"/>
    <col min="15" max="15" width="25.28125" style="167" customWidth="1"/>
    <col min="16" max="16" width="9.28125" style="167" bestFit="1" customWidth="1"/>
    <col min="17" max="255" width="8.7109375" style="167" customWidth="1"/>
    <col min="256" max="16384" width="7.28125" style="167" bestFit="1" customWidth="1"/>
  </cols>
  <sheetData>
    <row r="1" spans="1:14" ht="20.25" customHeight="1">
      <c r="A1" s="373" t="s">
        <v>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5"/>
    </row>
    <row r="2" spans="1:14" ht="20.25" customHeight="1">
      <c r="A2" s="376" t="s">
        <v>436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8"/>
    </row>
    <row r="3" spans="1:14" ht="20.25" customHeight="1" thickBot="1">
      <c r="A3" s="379" t="s">
        <v>32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1"/>
    </row>
    <row r="4" spans="1:14" ht="27.75" customHeight="1">
      <c r="A4" s="382" t="s">
        <v>33</v>
      </c>
      <c r="B4" s="384" t="s">
        <v>34</v>
      </c>
      <c r="C4" s="386" t="s">
        <v>35</v>
      </c>
      <c r="D4" s="388" t="s">
        <v>36</v>
      </c>
      <c r="E4" s="390" t="s">
        <v>37</v>
      </c>
      <c r="F4" s="391"/>
      <c r="G4" s="391"/>
      <c r="H4" s="391"/>
      <c r="I4" s="392"/>
      <c r="J4" s="168" t="s">
        <v>38</v>
      </c>
      <c r="K4" s="169" t="s">
        <v>439</v>
      </c>
      <c r="L4" s="170" t="s">
        <v>39</v>
      </c>
      <c r="M4" s="170" t="s">
        <v>438</v>
      </c>
      <c r="N4" s="171" t="s">
        <v>441</v>
      </c>
    </row>
    <row r="5" spans="1:14" ht="20.25" customHeight="1">
      <c r="A5" s="383"/>
      <c r="B5" s="385"/>
      <c r="C5" s="387"/>
      <c r="D5" s="389"/>
      <c r="E5" s="172" t="s">
        <v>40</v>
      </c>
      <c r="F5" s="173" t="s">
        <v>41</v>
      </c>
      <c r="G5" s="173" t="s">
        <v>42</v>
      </c>
      <c r="H5" s="173" t="s">
        <v>43</v>
      </c>
      <c r="I5" s="393" t="s">
        <v>13</v>
      </c>
      <c r="J5" s="395" t="s">
        <v>44</v>
      </c>
      <c r="K5" s="396"/>
      <c r="L5" s="396"/>
      <c r="M5" s="396"/>
      <c r="N5" s="397"/>
    </row>
    <row r="6" spans="1:14" s="180" customFormat="1" ht="20.25" customHeight="1">
      <c r="A6" s="383"/>
      <c r="B6" s="385"/>
      <c r="C6" s="387"/>
      <c r="D6" s="389"/>
      <c r="E6" s="174" t="s">
        <v>45</v>
      </c>
      <c r="F6" s="175" t="s">
        <v>45</v>
      </c>
      <c r="G6" s="175" t="s">
        <v>45</v>
      </c>
      <c r="H6" s="175" t="s">
        <v>45</v>
      </c>
      <c r="I6" s="394"/>
      <c r="J6" s="176" t="s">
        <v>440</v>
      </c>
      <c r="K6" s="177" t="s">
        <v>437</v>
      </c>
      <c r="L6" s="178" t="s">
        <v>442</v>
      </c>
      <c r="M6" s="177" t="s">
        <v>443</v>
      </c>
      <c r="N6" s="179" t="s">
        <v>444</v>
      </c>
    </row>
    <row r="7" spans="1:14" s="188" customFormat="1" ht="45" customHeight="1">
      <c r="A7" s="181" t="s">
        <v>46</v>
      </c>
      <c r="B7" s="182" t="s">
        <v>47</v>
      </c>
      <c r="C7" s="183"/>
      <c r="D7" s="184"/>
      <c r="E7" s="185"/>
      <c r="F7" s="183"/>
      <c r="G7" s="183"/>
      <c r="H7" s="183"/>
      <c r="I7" s="184"/>
      <c r="J7" s="185"/>
      <c r="K7" s="186"/>
      <c r="L7" s="183"/>
      <c r="M7" s="187"/>
      <c r="N7" s="184"/>
    </row>
    <row r="8" spans="1:14" s="188" customFormat="1" ht="45" customHeight="1">
      <c r="A8" s="181">
        <v>1.5</v>
      </c>
      <c r="B8" s="182" t="s">
        <v>48</v>
      </c>
      <c r="C8" s="183"/>
      <c r="D8" s="184"/>
      <c r="E8" s="185"/>
      <c r="F8" s="183"/>
      <c r="G8" s="183"/>
      <c r="H8" s="183"/>
      <c r="I8" s="184"/>
      <c r="J8" s="185"/>
      <c r="K8" s="186"/>
      <c r="L8" s="183"/>
      <c r="M8" s="187"/>
      <c r="N8" s="184"/>
    </row>
    <row r="9" spans="1:14" s="199" customFormat="1" ht="45" customHeight="1">
      <c r="A9" s="189" t="s">
        <v>49</v>
      </c>
      <c r="B9" s="190" t="s">
        <v>50</v>
      </c>
      <c r="C9" s="191">
        <v>67888</v>
      </c>
      <c r="D9" s="192">
        <v>0</v>
      </c>
      <c r="E9" s="193">
        <v>67888</v>
      </c>
      <c r="F9" s="191">
        <v>0</v>
      </c>
      <c r="G9" s="191">
        <v>0</v>
      </c>
      <c r="H9" s="194">
        <v>0</v>
      </c>
      <c r="I9" s="195">
        <f>C9+D9</f>
        <v>67888</v>
      </c>
      <c r="J9" s="193">
        <f>(+E9+F9)*103.25</f>
        <v>7009436</v>
      </c>
      <c r="K9" s="196">
        <f>(G9+H9)*103.25</f>
        <v>0</v>
      </c>
      <c r="L9" s="191">
        <v>6919787</v>
      </c>
      <c r="M9" s="197">
        <v>74918</v>
      </c>
      <c r="N9" s="198">
        <f>J9+K9-L9-M9</f>
        <v>14731</v>
      </c>
    </row>
    <row r="10" spans="1:14" ht="45" customHeight="1">
      <c r="A10" s="200" t="s">
        <v>51</v>
      </c>
      <c r="B10" s="201" t="s">
        <v>52</v>
      </c>
      <c r="C10" s="202">
        <v>0</v>
      </c>
      <c r="D10" s="203">
        <v>20000</v>
      </c>
      <c r="E10" s="204">
        <v>5000</v>
      </c>
      <c r="F10" s="205">
        <v>10000</v>
      </c>
      <c r="G10" s="206">
        <v>5000</v>
      </c>
      <c r="H10" s="206">
        <v>0</v>
      </c>
      <c r="I10" s="207">
        <f>C10+D10</f>
        <v>20000</v>
      </c>
      <c r="J10" s="208">
        <f>(+E10+F10)*103.25</f>
        <v>1548750</v>
      </c>
      <c r="K10" s="196">
        <f>(G10+H10)*103.25</f>
        <v>516250</v>
      </c>
      <c r="L10" s="209">
        <v>0</v>
      </c>
      <c r="M10" s="210">
        <v>1818120</v>
      </c>
      <c r="N10" s="198">
        <f>J10+K10-L10-M10</f>
        <v>246880</v>
      </c>
    </row>
    <row r="11" spans="1:14" s="199" customFormat="1" ht="45" customHeight="1">
      <c r="A11" s="189" t="s">
        <v>53</v>
      </c>
      <c r="B11" s="190" t="s">
        <v>54</v>
      </c>
      <c r="C11" s="191">
        <v>23356</v>
      </c>
      <c r="D11" s="211">
        <v>0</v>
      </c>
      <c r="E11" s="193">
        <v>23356</v>
      </c>
      <c r="F11" s="191">
        <v>0</v>
      </c>
      <c r="G11" s="191"/>
      <c r="H11" s="194">
        <v>0</v>
      </c>
      <c r="I11" s="195">
        <f>C11+D11</f>
        <v>23356</v>
      </c>
      <c r="J11" s="193">
        <f>(+E11+F11)*103.25</f>
        <v>2411507</v>
      </c>
      <c r="K11" s="196">
        <f>(G11+H11)*103.25</f>
        <v>0</v>
      </c>
      <c r="L11" s="191">
        <v>2267400</v>
      </c>
      <c r="M11" s="197"/>
      <c r="N11" s="198">
        <f>J11+K11-L11-M11</f>
        <v>144107</v>
      </c>
    </row>
    <row r="12" spans="1:14" ht="45" customHeight="1">
      <c r="A12" s="200" t="s">
        <v>55</v>
      </c>
      <c r="B12" s="201" t="s">
        <v>56</v>
      </c>
      <c r="C12" s="202">
        <v>0</v>
      </c>
      <c r="D12" s="203">
        <v>5000</v>
      </c>
      <c r="E12" s="204">
        <v>0</v>
      </c>
      <c r="F12" s="205">
        <v>5000</v>
      </c>
      <c r="G12" s="206">
        <v>0</v>
      </c>
      <c r="H12" s="206">
        <v>0</v>
      </c>
      <c r="I12" s="207">
        <f>C12+D12</f>
        <v>5000</v>
      </c>
      <c r="J12" s="208">
        <f>(+E12+F12)*103.25</f>
        <v>516250</v>
      </c>
      <c r="K12" s="196">
        <f>(G12+H12)*103.25</f>
        <v>0</v>
      </c>
      <c r="L12" s="209">
        <v>0</v>
      </c>
      <c r="M12" s="210"/>
      <c r="N12" s="198">
        <f>J12+K12-L12-M12</f>
        <v>516250</v>
      </c>
    </row>
    <row r="13" spans="1:16" ht="45" customHeight="1">
      <c r="A13" s="212"/>
      <c r="B13" s="213" t="s">
        <v>57</v>
      </c>
      <c r="C13" s="214">
        <f>SUM(C9:C12)</f>
        <v>91244</v>
      </c>
      <c r="D13" s="215">
        <f aca="true" t="shared" si="0" ref="D13:N13">SUM(D9:D12)</f>
        <v>25000</v>
      </c>
      <c r="E13" s="216">
        <f t="shared" si="0"/>
        <v>96244</v>
      </c>
      <c r="F13" s="214">
        <f t="shared" si="0"/>
        <v>15000</v>
      </c>
      <c r="G13" s="214">
        <f t="shared" si="0"/>
        <v>5000</v>
      </c>
      <c r="H13" s="214">
        <f t="shared" si="0"/>
        <v>0</v>
      </c>
      <c r="I13" s="215">
        <f t="shared" si="0"/>
        <v>116244</v>
      </c>
      <c r="J13" s="216">
        <f t="shared" si="0"/>
        <v>11485943</v>
      </c>
      <c r="K13" s="216">
        <f t="shared" si="0"/>
        <v>516250</v>
      </c>
      <c r="L13" s="216">
        <f t="shared" si="0"/>
        <v>9187187</v>
      </c>
      <c r="M13" s="216">
        <f t="shared" si="0"/>
        <v>1893038</v>
      </c>
      <c r="N13" s="216">
        <f t="shared" si="0"/>
        <v>921968</v>
      </c>
      <c r="P13" s="217"/>
    </row>
    <row r="14" spans="1:14" s="188" customFormat="1" ht="45" customHeight="1">
      <c r="A14" s="181" t="s">
        <v>58</v>
      </c>
      <c r="B14" s="182" t="s">
        <v>59</v>
      </c>
      <c r="C14" s="183"/>
      <c r="D14" s="184"/>
      <c r="E14" s="185"/>
      <c r="F14" s="183"/>
      <c r="G14" s="183"/>
      <c r="H14" s="183"/>
      <c r="I14" s="184"/>
      <c r="J14" s="185"/>
      <c r="K14" s="186"/>
      <c r="L14" s="183"/>
      <c r="M14" s="187"/>
      <c r="N14" s="184"/>
    </row>
    <row r="15" spans="1:14" s="223" customFormat="1" ht="45" customHeight="1">
      <c r="A15" s="218" t="s">
        <v>60</v>
      </c>
      <c r="B15" s="219" t="s">
        <v>61</v>
      </c>
      <c r="C15" s="220">
        <v>10689</v>
      </c>
      <c r="D15" s="221">
        <v>0</v>
      </c>
      <c r="E15" s="222">
        <v>10689</v>
      </c>
      <c r="F15" s="220">
        <v>0</v>
      </c>
      <c r="G15" s="220">
        <v>0</v>
      </c>
      <c r="H15" s="194">
        <v>0</v>
      </c>
      <c r="I15" s="195">
        <f>C15+D15</f>
        <v>10689</v>
      </c>
      <c r="J15" s="193">
        <f>(+E15+F15)*103.25</f>
        <v>1103639.25</v>
      </c>
      <c r="K15" s="196">
        <f>(G15+H15)*103.25</f>
        <v>0</v>
      </c>
      <c r="L15" s="191">
        <v>1103600</v>
      </c>
      <c r="M15" s="197"/>
      <c r="N15" s="198">
        <f>J15+K15-L15-M15</f>
        <v>39.25</v>
      </c>
    </row>
    <row r="16" spans="1:14" s="229" customFormat="1" ht="45" customHeight="1">
      <c r="A16" s="200" t="s">
        <v>62</v>
      </c>
      <c r="B16" s="224" t="s">
        <v>61</v>
      </c>
      <c r="C16" s="225">
        <v>0</v>
      </c>
      <c r="D16" s="226">
        <v>15000</v>
      </c>
      <c r="E16" s="227">
        <v>0</v>
      </c>
      <c r="F16" s="228">
        <v>0</v>
      </c>
      <c r="G16" s="228">
        <v>0</v>
      </c>
      <c r="H16" s="228">
        <v>15000</v>
      </c>
      <c r="I16" s="195">
        <f>C16+D16</f>
        <v>15000</v>
      </c>
      <c r="J16" s="208">
        <f>(+E16+F16)*103.25</f>
        <v>0</v>
      </c>
      <c r="K16" s="196">
        <f>(G16+H16)*103.25</f>
        <v>1548750</v>
      </c>
      <c r="L16" s="191">
        <v>0</v>
      </c>
      <c r="M16" s="197">
        <v>1632209</v>
      </c>
      <c r="N16" s="198">
        <f>J16+K16-L16-M16</f>
        <v>-83459</v>
      </c>
    </row>
    <row r="17" spans="1:14" s="199" customFormat="1" ht="45" customHeight="1">
      <c r="A17" s="200" t="s">
        <v>63</v>
      </c>
      <c r="B17" s="219" t="s">
        <v>64</v>
      </c>
      <c r="C17" s="230">
        <v>3000</v>
      </c>
      <c r="D17" s="192">
        <v>0</v>
      </c>
      <c r="E17" s="231">
        <v>1500</v>
      </c>
      <c r="F17" s="232">
        <v>1500</v>
      </c>
      <c r="G17" s="191">
        <v>0</v>
      </c>
      <c r="H17" s="194">
        <v>0</v>
      </c>
      <c r="I17" s="195">
        <f>C17+D17</f>
        <v>3000</v>
      </c>
      <c r="J17" s="193">
        <f>(+E17+F17)*103.25</f>
        <v>309750</v>
      </c>
      <c r="K17" s="196">
        <f>(G17+H17)*103.25</f>
        <v>0</v>
      </c>
      <c r="L17" s="191">
        <v>255600</v>
      </c>
      <c r="M17" s="197"/>
      <c r="N17" s="198">
        <f>J17+K17-L17-M17</f>
        <v>54150</v>
      </c>
    </row>
    <row r="18" spans="1:14" s="188" customFormat="1" ht="45" customHeight="1">
      <c r="A18" s="200" t="s">
        <v>65</v>
      </c>
      <c r="B18" s="224" t="s">
        <v>64</v>
      </c>
      <c r="C18" s="225">
        <v>0</v>
      </c>
      <c r="D18" s="203">
        <v>3000</v>
      </c>
      <c r="E18" s="227">
        <v>0</v>
      </c>
      <c r="F18" s="228">
        <v>0</v>
      </c>
      <c r="G18" s="228">
        <v>1500</v>
      </c>
      <c r="H18" s="228">
        <v>1500</v>
      </c>
      <c r="I18" s="195">
        <f>C18+D18</f>
        <v>3000</v>
      </c>
      <c r="J18" s="208">
        <f>(+E18+F18)*103.25</f>
        <v>0</v>
      </c>
      <c r="K18" s="196">
        <f>(G18+H18)*103.25</f>
        <v>309750</v>
      </c>
      <c r="L18" s="191">
        <v>0</v>
      </c>
      <c r="M18" s="197">
        <v>213200</v>
      </c>
      <c r="N18" s="198">
        <f>J18+K18-L18-M18</f>
        <v>96550</v>
      </c>
    </row>
    <row r="19" spans="1:14" s="188" customFormat="1" ht="45" customHeight="1">
      <c r="A19" s="181"/>
      <c r="B19" s="213" t="s">
        <v>57</v>
      </c>
      <c r="C19" s="214">
        <f>SUM(C15:C18)</f>
        <v>13689</v>
      </c>
      <c r="D19" s="215">
        <f aca="true" t="shared" si="1" ref="D19:N19">SUM(D15:D18)</f>
        <v>18000</v>
      </c>
      <c r="E19" s="216">
        <f t="shared" si="1"/>
        <v>12189</v>
      </c>
      <c r="F19" s="214">
        <f t="shared" si="1"/>
        <v>1500</v>
      </c>
      <c r="G19" s="214">
        <f t="shared" si="1"/>
        <v>1500</v>
      </c>
      <c r="H19" s="214">
        <f t="shared" si="1"/>
        <v>16500</v>
      </c>
      <c r="I19" s="215">
        <f t="shared" si="1"/>
        <v>31689</v>
      </c>
      <c r="J19" s="216">
        <f t="shared" si="1"/>
        <v>1413389.25</v>
      </c>
      <c r="K19" s="216">
        <f t="shared" si="1"/>
        <v>1858500</v>
      </c>
      <c r="L19" s="216">
        <f t="shared" si="1"/>
        <v>1359200</v>
      </c>
      <c r="M19" s="216">
        <f t="shared" si="1"/>
        <v>1845409</v>
      </c>
      <c r="N19" s="216">
        <f t="shared" si="1"/>
        <v>67280.25</v>
      </c>
    </row>
    <row r="20" spans="1:14" s="188" customFormat="1" ht="45" customHeight="1">
      <c r="A20" s="233" t="s">
        <v>66</v>
      </c>
      <c r="B20" s="182" t="s">
        <v>67</v>
      </c>
      <c r="C20" s="183"/>
      <c r="D20" s="184"/>
      <c r="E20" s="185"/>
      <c r="F20" s="183"/>
      <c r="G20" s="183"/>
      <c r="H20" s="183"/>
      <c r="I20" s="184"/>
      <c r="J20" s="185"/>
      <c r="K20" s="186"/>
      <c r="L20" s="183"/>
      <c r="M20" s="187"/>
      <c r="N20" s="184"/>
    </row>
    <row r="21" spans="1:14" s="199" customFormat="1" ht="45" customHeight="1">
      <c r="A21" s="218" t="s">
        <v>68</v>
      </c>
      <c r="B21" s="219" t="s">
        <v>69</v>
      </c>
      <c r="C21" s="230">
        <v>150</v>
      </c>
      <c r="D21" s="234">
        <v>0</v>
      </c>
      <c r="E21" s="235">
        <v>150</v>
      </c>
      <c r="F21" s="236">
        <v>0</v>
      </c>
      <c r="G21" s="191">
        <v>0</v>
      </c>
      <c r="H21" s="194">
        <v>0</v>
      </c>
      <c r="I21" s="195">
        <f>C21+D21</f>
        <v>150</v>
      </c>
      <c r="J21" s="193">
        <f>(+E21+F21)*103.25</f>
        <v>15487.5</v>
      </c>
      <c r="K21" s="196">
        <f>(G21+H21)*103.25</f>
        <v>0</v>
      </c>
      <c r="L21" s="191">
        <v>14174</v>
      </c>
      <c r="M21" s="197"/>
      <c r="N21" s="198">
        <f>J21+K21-L21-M21</f>
        <v>1313.5</v>
      </c>
    </row>
    <row r="22" spans="1:14" s="188" customFormat="1" ht="45" customHeight="1">
      <c r="A22" s="218" t="s">
        <v>70</v>
      </c>
      <c r="B22" s="224" t="s">
        <v>69</v>
      </c>
      <c r="C22" s="225">
        <v>0</v>
      </c>
      <c r="D22" s="203">
        <v>2500</v>
      </c>
      <c r="E22" s="237">
        <v>0</v>
      </c>
      <c r="F22" s="238">
        <v>0</v>
      </c>
      <c r="G22" s="238">
        <v>2000</v>
      </c>
      <c r="H22" s="238">
        <v>500</v>
      </c>
      <c r="I22" s="195">
        <f>C22+D22</f>
        <v>2500</v>
      </c>
      <c r="J22" s="208">
        <f>(+E22+F22)*103.25</f>
        <v>0</v>
      </c>
      <c r="K22" s="196">
        <f>(G22+H22)*103.25</f>
        <v>258125</v>
      </c>
      <c r="L22" s="191">
        <v>0</v>
      </c>
      <c r="M22" s="197">
        <v>9500</v>
      </c>
      <c r="N22" s="198">
        <f>J22+K22-L22-M22</f>
        <v>248625</v>
      </c>
    </row>
    <row r="23" spans="1:14" s="199" customFormat="1" ht="45" customHeight="1">
      <c r="A23" s="218" t="s">
        <v>71</v>
      </c>
      <c r="B23" s="219" t="s">
        <v>72</v>
      </c>
      <c r="C23" s="230">
        <v>250</v>
      </c>
      <c r="D23" s="234">
        <v>0</v>
      </c>
      <c r="E23" s="235">
        <v>0</v>
      </c>
      <c r="F23" s="236">
        <v>150</v>
      </c>
      <c r="G23" s="191">
        <v>100</v>
      </c>
      <c r="H23" s="194">
        <v>0</v>
      </c>
      <c r="I23" s="195">
        <f>C23+D23</f>
        <v>250</v>
      </c>
      <c r="J23" s="193">
        <f>(+E23+F23)*103.25</f>
        <v>15487.5</v>
      </c>
      <c r="K23" s="196">
        <f>(G23+H23)*103.25</f>
        <v>10325</v>
      </c>
      <c r="L23" s="191">
        <v>0</v>
      </c>
      <c r="M23" s="197"/>
      <c r="N23" s="198">
        <f>J23+K23-L23-M23</f>
        <v>25812.5</v>
      </c>
    </row>
    <row r="24" spans="1:14" s="188" customFormat="1" ht="45" customHeight="1">
      <c r="A24" s="218" t="s">
        <v>73</v>
      </c>
      <c r="B24" s="224" t="s">
        <v>72</v>
      </c>
      <c r="C24" s="225">
        <v>0</v>
      </c>
      <c r="D24" s="203">
        <v>2500</v>
      </c>
      <c r="E24" s="237">
        <v>0</v>
      </c>
      <c r="F24" s="238">
        <v>0</v>
      </c>
      <c r="G24" s="238">
        <v>2000</v>
      </c>
      <c r="H24" s="238">
        <v>500</v>
      </c>
      <c r="I24" s="195">
        <f>C24+D24</f>
        <v>2500</v>
      </c>
      <c r="J24" s="208">
        <f>(+E24+F24)*103.25</f>
        <v>0</v>
      </c>
      <c r="K24" s="196">
        <f>(G24+H24)*103.25</f>
        <v>258125</v>
      </c>
      <c r="L24" s="191">
        <v>0</v>
      </c>
      <c r="M24" s="197"/>
      <c r="N24" s="198">
        <f>J24+K24-L24-M24</f>
        <v>258125</v>
      </c>
    </row>
    <row r="25" spans="1:14" s="188" customFormat="1" ht="45" customHeight="1">
      <c r="A25" s="239"/>
      <c r="B25" s="213" t="s">
        <v>57</v>
      </c>
      <c r="C25" s="214">
        <f>SUM(C21:C24)</f>
        <v>400</v>
      </c>
      <c r="D25" s="215">
        <f aca="true" t="shared" si="2" ref="D25:N25">SUM(D21:D24)</f>
        <v>5000</v>
      </c>
      <c r="E25" s="216">
        <f t="shared" si="2"/>
        <v>150</v>
      </c>
      <c r="F25" s="214">
        <f t="shared" si="2"/>
        <v>150</v>
      </c>
      <c r="G25" s="214">
        <f t="shared" si="2"/>
        <v>4100</v>
      </c>
      <c r="H25" s="214">
        <f t="shared" si="2"/>
        <v>1000</v>
      </c>
      <c r="I25" s="215">
        <f t="shared" si="2"/>
        <v>5400</v>
      </c>
      <c r="J25" s="216">
        <f t="shared" si="2"/>
        <v>30975</v>
      </c>
      <c r="K25" s="216">
        <f t="shared" si="2"/>
        <v>526575</v>
      </c>
      <c r="L25" s="216">
        <f t="shared" si="2"/>
        <v>14174</v>
      </c>
      <c r="M25" s="216">
        <f t="shared" si="2"/>
        <v>9500</v>
      </c>
      <c r="N25" s="216">
        <f t="shared" si="2"/>
        <v>533876</v>
      </c>
    </row>
    <row r="26" spans="1:14" s="188" customFormat="1" ht="45" customHeight="1">
      <c r="A26" s="181">
        <v>1.9</v>
      </c>
      <c r="B26" s="182" t="s">
        <v>74</v>
      </c>
      <c r="C26" s="183"/>
      <c r="D26" s="184"/>
      <c r="E26" s="185"/>
      <c r="F26" s="183"/>
      <c r="G26" s="183"/>
      <c r="H26" s="183"/>
      <c r="I26" s="184"/>
      <c r="J26" s="185"/>
      <c r="K26" s="186"/>
      <c r="L26" s="183"/>
      <c r="M26" s="187"/>
      <c r="N26" s="184"/>
    </row>
    <row r="27" spans="1:14" s="188" customFormat="1" ht="45" customHeight="1">
      <c r="A27" s="218" t="s">
        <v>75</v>
      </c>
      <c r="B27" s="224" t="s">
        <v>76</v>
      </c>
      <c r="C27" s="225">
        <v>0</v>
      </c>
      <c r="D27" s="203">
        <v>15000</v>
      </c>
      <c r="E27" s="204">
        <v>0</v>
      </c>
      <c r="F27" s="205">
        <v>15000</v>
      </c>
      <c r="G27" s="205">
        <v>0</v>
      </c>
      <c r="H27" s="205">
        <v>0</v>
      </c>
      <c r="I27" s="195">
        <f>C27+D27</f>
        <v>15000</v>
      </c>
      <c r="J27" s="208">
        <f>(+E27+F27)*103.25</f>
        <v>1548750</v>
      </c>
      <c r="K27" s="196">
        <f>(G27+H27)*103.25</f>
        <v>0</v>
      </c>
      <c r="L27" s="191">
        <v>0</v>
      </c>
      <c r="M27" s="197">
        <v>1881400</v>
      </c>
      <c r="N27" s="198">
        <f>J27+K27-L27-M27</f>
        <v>-332650</v>
      </c>
    </row>
    <row r="28" spans="1:14" s="188" customFormat="1" ht="45" customHeight="1">
      <c r="A28" s="218" t="s">
        <v>77</v>
      </c>
      <c r="B28" s="224" t="s">
        <v>78</v>
      </c>
      <c r="C28" s="225">
        <v>0</v>
      </c>
      <c r="D28" s="203">
        <v>10000</v>
      </c>
      <c r="E28" s="204">
        <v>0</v>
      </c>
      <c r="F28" s="205">
        <v>10000</v>
      </c>
      <c r="G28" s="205">
        <v>0</v>
      </c>
      <c r="H28" s="205">
        <v>0</v>
      </c>
      <c r="I28" s="195">
        <f>C28+D28</f>
        <v>10000</v>
      </c>
      <c r="J28" s="208">
        <f>(+E28+F28)*103.25</f>
        <v>1032500</v>
      </c>
      <c r="K28" s="196">
        <f>(G28+H28)*103.25</f>
        <v>0</v>
      </c>
      <c r="L28" s="191">
        <v>0</v>
      </c>
      <c r="M28" s="197"/>
      <c r="N28" s="198">
        <f>J28+K28-L28-M28</f>
        <v>1032500</v>
      </c>
    </row>
    <row r="29" spans="1:14" s="188" customFormat="1" ht="45" customHeight="1">
      <c r="A29" s="181"/>
      <c r="B29" s="213" t="s">
        <v>57</v>
      </c>
      <c r="C29" s="214">
        <f>SUM(C27:C28)</f>
        <v>0</v>
      </c>
      <c r="D29" s="215">
        <f aca="true" t="shared" si="3" ref="D29:N29">SUM(D27:D28)</f>
        <v>25000</v>
      </c>
      <c r="E29" s="216">
        <f t="shared" si="3"/>
        <v>0</v>
      </c>
      <c r="F29" s="214">
        <f t="shared" si="3"/>
        <v>25000</v>
      </c>
      <c r="G29" s="214">
        <f t="shared" si="3"/>
        <v>0</v>
      </c>
      <c r="H29" s="214">
        <f t="shared" si="3"/>
        <v>0</v>
      </c>
      <c r="I29" s="215">
        <f t="shared" si="3"/>
        <v>25000</v>
      </c>
      <c r="J29" s="216">
        <f t="shared" si="3"/>
        <v>2581250</v>
      </c>
      <c r="K29" s="216">
        <f t="shared" si="3"/>
        <v>0</v>
      </c>
      <c r="L29" s="216">
        <f t="shared" si="3"/>
        <v>0</v>
      </c>
      <c r="M29" s="216">
        <f t="shared" si="3"/>
        <v>1881400</v>
      </c>
      <c r="N29" s="216">
        <f t="shared" si="3"/>
        <v>699850</v>
      </c>
    </row>
    <row r="30" spans="1:14" s="188" customFormat="1" ht="45" customHeight="1">
      <c r="A30" s="233">
        <v>1.1</v>
      </c>
      <c r="B30" s="182" t="s">
        <v>79</v>
      </c>
      <c r="C30" s="183"/>
      <c r="D30" s="184"/>
      <c r="E30" s="185"/>
      <c r="F30" s="183"/>
      <c r="G30" s="183"/>
      <c r="H30" s="183"/>
      <c r="I30" s="184"/>
      <c r="J30" s="185"/>
      <c r="K30" s="186"/>
      <c r="L30" s="183"/>
      <c r="M30" s="187"/>
      <c r="N30" s="184"/>
    </row>
    <row r="31" spans="1:14" s="199" customFormat="1" ht="45" customHeight="1">
      <c r="A31" s="218" t="s">
        <v>80</v>
      </c>
      <c r="B31" s="219" t="s">
        <v>81</v>
      </c>
      <c r="C31" s="230">
        <v>0</v>
      </c>
      <c r="D31" s="240">
        <v>0</v>
      </c>
      <c r="E31" s="241">
        <v>5000</v>
      </c>
      <c r="F31" s="230">
        <v>5000</v>
      </c>
      <c r="G31" s="191">
        <v>5000</v>
      </c>
      <c r="H31" s="194">
        <v>10000</v>
      </c>
      <c r="I31" s="195">
        <f>C31+D31</f>
        <v>0</v>
      </c>
      <c r="J31" s="208">
        <f>(+E31+F31)*103.25</f>
        <v>1032500</v>
      </c>
      <c r="K31" s="196">
        <f>(G31+H31)*103.25</f>
        <v>1548750</v>
      </c>
      <c r="L31" s="191">
        <v>952204</v>
      </c>
      <c r="M31" s="197">
        <v>1720156</v>
      </c>
      <c r="N31" s="198">
        <f>J31+K31-L31-M31</f>
        <v>-91110</v>
      </c>
    </row>
    <row r="32" spans="1:14" s="188" customFormat="1" ht="45" customHeight="1">
      <c r="A32" s="218" t="s">
        <v>82</v>
      </c>
      <c r="B32" s="224" t="s">
        <v>81</v>
      </c>
      <c r="C32" s="225">
        <v>0</v>
      </c>
      <c r="D32" s="203">
        <v>40000</v>
      </c>
      <c r="E32" s="242">
        <v>5000</v>
      </c>
      <c r="F32" s="225">
        <v>10000</v>
      </c>
      <c r="G32" s="225">
        <v>10000</v>
      </c>
      <c r="H32" s="225">
        <v>15000</v>
      </c>
      <c r="I32" s="195">
        <f>C32+D32</f>
        <v>40000</v>
      </c>
      <c r="J32" s="208">
        <f>(+E32+F32)*103.25</f>
        <v>1548750</v>
      </c>
      <c r="K32" s="196">
        <f>(G32+H32)*103.25</f>
        <v>2581250</v>
      </c>
      <c r="L32" s="191">
        <v>0</v>
      </c>
      <c r="M32" s="311">
        <f>3304073+6026</f>
        <v>3310099</v>
      </c>
      <c r="N32" s="198">
        <f>J32+K32-L32-M32</f>
        <v>819901</v>
      </c>
    </row>
    <row r="33" spans="1:14" s="188" customFormat="1" ht="45" customHeight="1">
      <c r="A33" s="181"/>
      <c r="B33" s="213" t="s">
        <v>57</v>
      </c>
      <c r="C33" s="214">
        <f>SUM(C31:C32)</f>
        <v>0</v>
      </c>
      <c r="D33" s="215">
        <f aca="true" t="shared" si="4" ref="D33:N33">SUM(D31:D32)</f>
        <v>40000</v>
      </c>
      <c r="E33" s="216">
        <f t="shared" si="4"/>
        <v>10000</v>
      </c>
      <c r="F33" s="214">
        <f t="shared" si="4"/>
        <v>15000</v>
      </c>
      <c r="G33" s="214">
        <f t="shared" si="4"/>
        <v>15000</v>
      </c>
      <c r="H33" s="214">
        <f t="shared" si="4"/>
        <v>25000</v>
      </c>
      <c r="I33" s="215">
        <f t="shared" si="4"/>
        <v>40000</v>
      </c>
      <c r="J33" s="216">
        <f t="shared" si="4"/>
        <v>2581250</v>
      </c>
      <c r="K33" s="216">
        <f t="shared" si="4"/>
        <v>4130000</v>
      </c>
      <c r="L33" s="216">
        <f t="shared" si="4"/>
        <v>952204</v>
      </c>
      <c r="M33" s="216">
        <f t="shared" si="4"/>
        <v>5030255</v>
      </c>
      <c r="N33" s="216">
        <f t="shared" si="4"/>
        <v>728791</v>
      </c>
    </row>
    <row r="34" spans="1:14" ht="45" customHeight="1">
      <c r="A34" s="243"/>
      <c r="B34" s="244" t="s">
        <v>83</v>
      </c>
      <c r="C34" s="245">
        <f>+C13+C19+C25+C29+C33</f>
        <v>105333</v>
      </c>
      <c r="D34" s="246">
        <f aca="true" t="shared" si="5" ref="D34:N34">+D13+D19+D25+D29+D33</f>
        <v>113000</v>
      </c>
      <c r="E34" s="247">
        <f t="shared" si="5"/>
        <v>118583</v>
      </c>
      <c r="F34" s="245">
        <f t="shared" si="5"/>
        <v>56650</v>
      </c>
      <c r="G34" s="245">
        <f t="shared" si="5"/>
        <v>25600</v>
      </c>
      <c r="H34" s="245">
        <f t="shared" si="5"/>
        <v>42500</v>
      </c>
      <c r="I34" s="246">
        <f t="shared" si="5"/>
        <v>218333</v>
      </c>
      <c r="J34" s="247">
        <f t="shared" si="5"/>
        <v>18092807.25</v>
      </c>
      <c r="K34" s="247">
        <f t="shared" si="5"/>
        <v>7031325</v>
      </c>
      <c r="L34" s="247">
        <f t="shared" si="5"/>
        <v>11512765</v>
      </c>
      <c r="M34" s="247">
        <f t="shared" si="5"/>
        <v>10659602</v>
      </c>
      <c r="N34" s="247">
        <f t="shared" si="5"/>
        <v>2951765.25</v>
      </c>
    </row>
    <row r="35" spans="1:14" s="188" customFormat="1" ht="45" customHeight="1">
      <c r="A35" s="181" t="s">
        <v>84</v>
      </c>
      <c r="B35" s="182" t="s">
        <v>85</v>
      </c>
      <c r="C35" s="183"/>
      <c r="D35" s="184"/>
      <c r="E35" s="185"/>
      <c r="F35" s="183"/>
      <c r="G35" s="183"/>
      <c r="H35" s="183"/>
      <c r="I35" s="184"/>
      <c r="J35" s="185"/>
      <c r="K35" s="186"/>
      <c r="L35" s="183"/>
      <c r="M35" s="187"/>
      <c r="N35" s="184"/>
    </row>
    <row r="36" spans="1:14" s="188" customFormat="1" ht="45" customHeight="1">
      <c r="A36" s="181">
        <v>2.1</v>
      </c>
      <c r="B36" s="182" t="s">
        <v>86</v>
      </c>
      <c r="C36" s="183"/>
      <c r="D36" s="184"/>
      <c r="E36" s="185"/>
      <c r="F36" s="183"/>
      <c r="G36" s="183"/>
      <c r="H36" s="183"/>
      <c r="I36" s="184"/>
      <c r="J36" s="185"/>
      <c r="K36" s="186"/>
      <c r="L36" s="183"/>
      <c r="M36" s="187"/>
      <c r="N36" s="184"/>
    </row>
    <row r="37" spans="1:14" s="188" customFormat="1" ht="45" customHeight="1">
      <c r="A37" s="239" t="s">
        <v>87</v>
      </c>
      <c r="B37" s="224" t="s">
        <v>88</v>
      </c>
      <c r="C37" s="225">
        <v>0</v>
      </c>
      <c r="D37" s="203">
        <v>1500</v>
      </c>
      <c r="E37" s="204">
        <v>0</v>
      </c>
      <c r="F37" s="205">
        <v>0</v>
      </c>
      <c r="G37" s="205">
        <v>1500</v>
      </c>
      <c r="H37" s="205">
        <v>0</v>
      </c>
      <c r="I37" s="195">
        <f>C37+D37</f>
        <v>1500</v>
      </c>
      <c r="J37" s="208">
        <f>(+E37+F37)*103.25</f>
        <v>0</v>
      </c>
      <c r="K37" s="196">
        <f>(G37+H37)*103.25</f>
        <v>154875</v>
      </c>
      <c r="L37" s="191">
        <v>0</v>
      </c>
      <c r="M37" s="197">
        <v>3850</v>
      </c>
      <c r="N37" s="198">
        <f>J37+K37-L37-M37</f>
        <v>151025</v>
      </c>
    </row>
    <row r="38" spans="1:14" s="188" customFormat="1" ht="45" customHeight="1">
      <c r="A38" s="239" t="s">
        <v>89</v>
      </c>
      <c r="B38" s="224" t="s">
        <v>90</v>
      </c>
      <c r="C38" s="225">
        <v>0</v>
      </c>
      <c r="D38" s="203">
        <v>1000</v>
      </c>
      <c r="E38" s="204">
        <v>0</v>
      </c>
      <c r="F38" s="205">
        <v>0</v>
      </c>
      <c r="G38" s="205">
        <v>1000</v>
      </c>
      <c r="H38" s="205">
        <v>0</v>
      </c>
      <c r="I38" s="195">
        <f>C38+D38</f>
        <v>1000</v>
      </c>
      <c r="J38" s="208">
        <f>(+E38+F38)*103.25</f>
        <v>0</v>
      </c>
      <c r="K38" s="196">
        <f>(G38+H38)*103.25</f>
        <v>103250</v>
      </c>
      <c r="L38" s="191">
        <v>0</v>
      </c>
      <c r="M38" s="197"/>
      <c r="N38" s="198">
        <f>J38+K38-L38-M38</f>
        <v>103250</v>
      </c>
    </row>
    <row r="39" spans="1:14" s="188" customFormat="1" ht="45" customHeight="1">
      <c r="A39" s="248"/>
      <c r="B39" s="213" t="s">
        <v>57</v>
      </c>
      <c r="C39" s="214">
        <f>SUM(C37:C38)</f>
        <v>0</v>
      </c>
      <c r="D39" s="215">
        <f aca="true" t="shared" si="6" ref="D39:N39">SUM(D37:D38)</f>
        <v>2500</v>
      </c>
      <c r="E39" s="216">
        <f t="shared" si="6"/>
        <v>0</v>
      </c>
      <c r="F39" s="214">
        <f t="shared" si="6"/>
        <v>0</v>
      </c>
      <c r="G39" s="214">
        <f t="shared" si="6"/>
        <v>2500</v>
      </c>
      <c r="H39" s="214">
        <f t="shared" si="6"/>
        <v>0</v>
      </c>
      <c r="I39" s="215">
        <f t="shared" si="6"/>
        <v>2500</v>
      </c>
      <c r="J39" s="216">
        <f t="shared" si="6"/>
        <v>0</v>
      </c>
      <c r="K39" s="216">
        <f t="shared" si="6"/>
        <v>258125</v>
      </c>
      <c r="L39" s="216">
        <f t="shared" si="6"/>
        <v>0</v>
      </c>
      <c r="M39" s="216">
        <f t="shared" si="6"/>
        <v>3850</v>
      </c>
      <c r="N39" s="216">
        <f t="shared" si="6"/>
        <v>254275</v>
      </c>
    </row>
    <row r="40" spans="1:14" s="188" customFormat="1" ht="45" customHeight="1">
      <c r="A40" s="181">
        <v>2.2</v>
      </c>
      <c r="B40" s="182" t="s">
        <v>91</v>
      </c>
      <c r="C40" s="183"/>
      <c r="D40" s="184"/>
      <c r="E40" s="185"/>
      <c r="F40" s="183"/>
      <c r="G40" s="183"/>
      <c r="H40" s="183"/>
      <c r="I40" s="184"/>
      <c r="J40" s="185"/>
      <c r="K40" s="186"/>
      <c r="L40" s="183"/>
      <c r="M40" s="187"/>
      <c r="N40" s="184"/>
    </row>
    <row r="41" spans="1:14" s="199" customFormat="1" ht="45" customHeight="1">
      <c r="A41" s="212" t="s">
        <v>92</v>
      </c>
      <c r="B41" s="219" t="s">
        <v>93</v>
      </c>
      <c r="C41" s="230">
        <v>5000</v>
      </c>
      <c r="D41" s="240">
        <v>0</v>
      </c>
      <c r="E41" s="241">
        <v>5000</v>
      </c>
      <c r="F41" s="230">
        <v>0</v>
      </c>
      <c r="G41" s="191">
        <v>0</v>
      </c>
      <c r="H41" s="194">
        <v>0</v>
      </c>
      <c r="I41" s="195">
        <f>C41+D41</f>
        <v>5000</v>
      </c>
      <c r="J41" s="208">
        <f>(+E41+F41)*103.25</f>
        <v>516250</v>
      </c>
      <c r="K41" s="196">
        <f>(G41+H41)*103.25</f>
        <v>0</v>
      </c>
      <c r="L41" s="191">
        <v>503214</v>
      </c>
      <c r="M41" s="197">
        <v>3000</v>
      </c>
      <c r="N41" s="198">
        <f>J41+K41-L41-M41</f>
        <v>10036</v>
      </c>
    </row>
    <row r="42" spans="1:14" s="188" customFormat="1" ht="45" customHeight="1">
      <c r="A42" s="239" t="s">
        <v>94</v>
      </c>
      <c r="B42" s="224" t="s">
        <v>93</v>
      </c>
      <c r="C42" s="225">
        <v>0</v>
      </c>
      <c r="D42" s="203">
        <v>5000</v>
      </c>
      <c r="E42" s="204">
        <v>2500</v>
      </c>
      <c r="F42" s="205">
        <v>0</v>
      </c>
      <c r="G42" s="205">
        <v>2500</v>
      </c>
      <c r="H42" s="205">
        <v>0</v>
      </c>
      <c r="I42" s="195">
        <f>C42+D42</f>
        <v>5000</v>
      </c>
      <c r="J42" s="208">
        <f>(+E42+F42)*103.25</f>
        <v>258125</v>
      </c>
      <c r="K42" s="196">
        <f>(G42+H42)*103.25</f>
        <v>258125</v>
      </c>
      <c r="L42" s="191">
        <v>0</v>
      </c>
      <c r="M42" s="197"/>
      <c r="N42" s="198">
        <f>J42+K42-L42-M42</f>
        <v>516250</v>
      </c>
    </row>
    <row r="43" spans="1:14" s="188" customFormat="1" ht="45" customHeight="1">
      <c r="A43" s="248"/>
      <c r="B43" s="213" t="s">
        <v>57</v>
      </c>
      <c r="C43" s="214">
        <f>SUM(C41:C42)</f>
        <v>5000</v>
      </c>
      <c r="D43" s="215">
        <f aca="true" t="shared" si="7" ref="D43:N43">SUM(D41:D42)</f>
        <v>5000</v>
      </c>
      <c r="E43" s="216">
        <f t="shared" si="7"/>
        <v>7500</v>
      </c>
      <c r="F43" s="214">
        <f t="shared" si="7"/>
        <v>0</v>
      </c>
      <c r="G43" s="214">
        <f t="shared" si="7"/>
        <v>2500</v>
      </c>
      <c r="H43" s="214">
        <f t="shared" si="7"/>
        <v>0</v>
      </c>
      <c r="I43" s="215">
        <f t="shared" si="7"/>
        <v>10000</v>
      </c>
      <c r="J43" s="216">
        <f t="shared" si="7"/>
        <v>774375</v>
      </c>
      <c r="K43" s="216">
        <f t="shared" si="7"/>
        <v>258125</v>
      </c>
      <c r="L43" s="216">
        <f t="shared" si="7"/>
        <v>503214</v>
      </c>
      <c r="M43" s="216">
        <f t="shared" si="7"/>
        <v>3000</v>
      </c>
      <c r="N43" s="216">
        <f t="shared" si="7"/>
        <v>526286</v>
      </c>
    </row>
    <row r="44" spans="1:14" s="188" customFormat="1" ht="45" customHeight="1">
      <c r="A44" s="181">
        <v>2.3</v>
      </c>
      <c r="B44" s="182" t="s">
        <v>95</v>
      </c>
      <c r="C44" s="183"/>
      <c r="D44" s="184"/>
      <c r="E44" s="185"/>
      <c r="F44" s="183"/>
      <c r="G44" s="183"/>
      <c r="H44" s="183"/>
      <c r="I44" s="184"/>
      <c r="J44" s="185"/>
      <c r="K44" s="186"/>
      <c r="L44" s="183"/>
      <c r="M44" s="187"/>
      <c r="N44" s="184"/>
    </row>
    <row r="45" spans="1:14" s="199" customFormat="1" ht="45" customHeight="1">
      <c r="A45" s="212" t="s">
        <v>96</v>
      </c>
      <c r="B45" s="219" t="s">
        <v>97</v>
      </c>
      <c r="C45" s="230">
        <v>14422</v>
      </c>
      <c r="D45" s="240">
        <v>0</v>
      </c>
      <c r="E45" s="241">
        <v>7000</v>
      </c>
      <c r="F45" s="230">
        <v>5000</v>
      </c>
      <c r="G45" s="191">
        <v>2422</v>
      </c>
      <c r="H45" s="194">
        <v>0</v>
      </c>
      <c r="I45" s="195">
        <f>C45+D45</f>
        <v>14422</v>
      </c>
      <c r="J45" s="208">
        <f>(+E45+F45)*103.25</f>
        <v>1239000</v>
      </c>
      <c r="K45" s="196">
        <f>(G45+H45)*103.25</f>
        <v>250071.5</v>
      </c>
      <c r="L45" s="191">
        <v>0</v>
      </c>
      <c r="M45" s="197">
        <f>1160000+2000</f>
        <v>1162000</v>
      </c>
      <c r="N45" s="198">
        <f>J45+K45-L45-M45</f>
        <v>327071.5</v>
      </c>
    </row>
    <row r="46" spans="1:14" s="188" customFormat="1" ht="45" customHeight="1">
      <c r="A46" s="239" t="s">
        <v>98</v>
      </c>
      <c r="B46" s="224" t="s">
        <v>97</v>
      </c>
      <c r="C46" s="225">
        <v>0</v>
      </c>
      <c r="D46" s="203">
        <v>21925</v>
      </c>
      <c r="E46" s="204">
        <v>7000</v>
      </c>
      <c r="F46" s="205">
        <v>5000</v>
      </c>
      <c r="G46" s="205">
        <v>5000</v>
      </c>
      <c r="H46" s="205">
        <v>4925</v>
      </c>
      <c r="I46" s="195">
        <f>C46+D46</f>
        <v>21925</v>
      </c>
      <c r="J46" s="208">
        <f>(+E46+F46)*103.25</f>
        <v>1239000</v>
      </c>
      <c r="K46" s="196">
        <f>(G46+H46)*103.25</f>
        <v>1024756.25</v>
      </c>
      <c r="L46" s="191">
        <v>0</v>
      </c>
      <c r="M46" s="197">
        <v>375000</v>
      </c>
      <c r="N46" s="198">
        <f>J46+K46-L46-M46</f>
        <v>1888756.25</v>
      </c>
    </row>
    <row r="47" spans="1:14" s="199" customFormat="1" ht="45" customHeight="1">
      <c r="A47" s="212" t="s">
        <v>99</v>
      </c>
      <c r="B47" s="219" t="s">
        <v>100</v>
      </c>
      <c r="C47" s="230">
        <v>16000</v>
      </c>
      <c r="D47" s="240">
        <v>0</v>
      </c>
      <c r="E47" s="241">
        <v>3000</v>
      </c>
      <c r="F47" s="230">
        <v>11000</v>
      </c>
      <c r="G47" s="191">
        <v>2000</v>
      </c>
      <c r="H47" s="194">
        <v>0</v>
      </c>
      <c r="I47" s="195">
        <f>C47+D47</f>
        <v>16000</v>
      </c>
      <c r="J47" s="208">
        <f>(+E47+F47)*103.25</f>
        <v>1445500</v>
      </c>
      <c r="K47" s="196">
        <f>(G47+H47)*103.25</f>
        <v>206500</v>
      </c>
      <c r="L47" s="191">
        <v>1060400</v>
      </c>
      <c r="M47" s="311">
        <v>6320000</v>
      </c>
      <c r="N47" s="198">
        <f>J47+K47-L47-M47</f>
        <v>-5728400</v>
      </c>
    </row>
    <row r="48" spans="1:14" s="188" customFormat="1" ht="45" customHeight="1">
      <c r="A48" s="239" t="s">
        <v>101</v>
      </c>
      <c r="B48" s="224" t="s">
        <v>100</v>
      </c>
      <c r="C48" s="225">
        <v>0</v>
      </c>
      <c r="D48" s="203">
        <f>53920</f>
        <v>53920</v>
      </c>
      <c r="E48" s="204">
        <v>20000</v>
      </c>
      <c r="F48" s="205">
        <v>15000</v>
      </c>
      <c r="G48" s="205">
        <v>15000</v>
      </c>
      <c r="H48" s="205">
        <v>3920</v>
      </c>
      <c r="I48" s="195">
        <f>C48+D48</f>
        <v>53920</v>
      </c>
      <c r="J48" s="208">
        <f>(+E48+F48)*103.25</f>
        <v>3613750</v>
      </c>
      <c r="K48" s="196">
        <f>(G48+H48)*103.25</f>
        <v>1953490</v>
      </c>
      <c r="L48" s="191">
        <v>0</v>
      </c>
      <c r="M48" s="197">
        <v>3623600</v>
      </c>
      <c r="N48" s="198">
        <f>J48+K48-L48-M48</f>
        <v>1943640</v>
      </c>
    </row>
    <row r="49" spans="1:14" s="188" customFormat="1" ht="45" customHeight="1">
      <c r="A49" s="248"/>
      <c r="B49" s="213" t="s">
        <v>57</v>
      </c>
      <c r="C49" s="214">
        <f>SUM(C45:C48)</f>
        <v>30422</v>
      </c>
      <c r="D49" s="215">
        <f aca="true" t="shared" si="8" ref="D49:N49">SUM(D45:D48)</f>
        <v>75845</v>
      </c>
      <c r="E49" s="216">
        <f t="shared" si="8"/>
        <v>37000</v>
      </c>
      <c r="F49" s="214">
        <f t="shared" si="8"/>
        <v>36000</v>
      </c>
      <c r="G49" s="214">
        <f t="shared" si="8"/>
        <v>24422</v>
      </c>
      <c r="H49" s="214">
        <f t="shared" si="8"/>
        <v>8845</v>
      </c>
      <c r="I49" s="215">
        <f t="shared" si="8"/>
        <v>106267</v>
      </c>
      <c r="J49" s="216">
        <f t="shared" si="8"/>
        <v>7537250</v>
      </c>
      <c r="K49" s="216">
        <f t="shared" si="8"/>
        <v>3434817.75</v>
      </c>
      <c r="L49" s="216">
        <f t="shared" si="8"/>
        <v>1060400</v>
      </c>
      <c r="M49" s="216">
        <f t="shared" si="8"/>
        <v>11480600</v>
      </c>
      <c r="N49" s="216">
        <f t="shared" si="8"/>
        <v>-1568932.25</v>
      </c>
    </row>
    <row r="50" spans="1:14" s="188" customFormat="1" ht="45" customHeight="1">
      <c r="A50" s="181">
        <v>2.4</v>
      </c>
      <c r="B50" s="182" t="s">
        <v>102</v>
      </c>
      <c r="C50" s="183"/>
      <c r="D50" s="184"/>
      <c r="E50" s="185"/>
      <c r="F50" s="183"/>
      <c r="G50" s="183"/>
      <c r="H50" s="183"/>
      <c r="I50" s="184"/>
      <c r="J50" s="185"/>
      <c r="K50" s="186"/>
      <c r="L50" s="183"/>
      <c r="M50" s="187"/>
      <c r="N50" s="184"/>
    </row>
    <row r="51" spans="1:14" s="199" customFormat="1" ht="45" customHeight="1">
      <c r="A51" s="212" t="s">
        <v>103</v>
      </c>
      <c r="B51" s="219" t="s">
        <v>104</v>
      </c>
      <c r="C51" s="230">
        <v>32000</v>
      </c>
      <c r="D51" s="240">
        <v>0</v>
      </c>
      <c r="E51" s="241">
        <v>7000</v>
      </c>
      <c r="F51" s="230">
        <v>5000</v>
      </c>
      <c r="G51" s="191">
        <v>20000</v>
      </c>
      <c r="H51" s="194">
        <v>0</v>
      </c>
      <c r="I51" s="195">
        <f>C51+D51</f>
        <v>32000</v>
      </c>
      <c r="J51" s="208">
        <f>(+E51+F51)*103.25</f>
        <v>1239000</v>
      </c>
      <c r="K51" s="196">
        <f>(G51+H51)*103.25</f>
        <v>2065000</v>
      </c>
      <c r="L51" s="191">
        <v>0</v>
      </c>
      <c r="M51" s="197">
        <v>1641500</v>
      </c>
      <c r="N51" s="198">
        <f>J51+K51-L51-M51</f>
        <v>1662500</v>
      </c>
    </row>
    <row r="52" spans="1:14" s="188" customFormat="1" ht="45" customHeight="1">
      <c r="A52" s="239" t="s">
        <v>105</v>
      </c>
      <c r="B52" s="224" t="s">
        <v>104</v>
      </c>
      <c r="C52" s="225">
        <v>0</v>
      </c>
      <c r="D52" s="203">
        <v>13800</v>
      </c>
      <c r="E52" s="204">
        <v>3000</v>
      </c>
      <c r="F52" s="205">
        <v>3000</v>
      </c>
      <c r="G52" s="205">
        <v>3000</v>
      </c>
      <c r="H52" s="205">
        <v>4800</v>
      </c>
      <c r="I52" s="195">
        <f>C52+D52</f>
        <v>13800</v>
      </c>
      <c r="J52" s="208">
        <f>(+E52+F52)*103.25</f>
        <v>619500</v>
      </c>
      <c r="K52" s="196">
        <f>(G52+H52)*103.25</f>
        <v>805350</v>
      </c>
      <c r="L52" s="191">
        <v>0</v>
      </c>
      <c r="M52" s="197">
        <v>1583000</v>
      </c>
      <c r="N52" s="198">
        <f>J52+K52-L52-M52</f>
        <v>-158150</v>
      </c>
    </row>
    <row r="53" spans="1:14" s="199" customFormat="1" ht="45" customHeight="1">
      <c r="A53" s="212" t="s">
        <v>106</v>
      </c>
      <c r="B53" s="219" t="s">
        <v>100</v>
      </c>
      <c r="C53" s="230">
        <v>16000</v>
      </c>
      <c r="D53" s="240">
        <v>0</v>
      </c>
      <c r="E53" s="241">
        <v>3000</v>
      </c>
      <c r="F53" s="230">
        <v>11000</v>
      </c>
      <c r="G53" s="191">
        <v>2000</v>
      </c>
      <c r="H53" s="194">
        <v>0</v>
      </c>
      <c r="I53" s="195">
        <f>C53+D53</f>
        <v>16000</v>
      </c>
      <c r="J53" s="208">
        <f>(+E53+F53)*103.25</f>
        <v>1445500</v>
      </c>
      <c r="K53" s="196">
        <f>(G53+H53)*103.25</f>
        <v>206500</v>
      </c>
      <c r="L53" s="191">
        <v>1271788</v>
      </c>
      <c r="M53" s="311">
        <v>350000</v>
      </c>
      <c r="N53" s="198">
        <f>J53+K53-L53-M53</f>
        <v>30212</v>
      </c>
    </row>
    <row r="54" spans="1:14" s="188" customFormat="1" ht="45" customHeight="1">
      <c r="A54" s="249" t="s">
        <v>107</v>
      </c>
      <c r="B54" s="224" t="s">
        <v>100</v>
      </c>
      <c r="C54" s="225">
        <v>0</v>
      </c>
      <c r="D54" s="203">
        <v>80100</v>
      </c>
      <c r="E54" s="204">
        <v>20000</v>
      </c>
      <c r="F54" s="205">
        <v>20000</v>
      </c>
      <c r="G54" s="205">
        <v>20000</v>
      </c>
      <c r="H54" s="205">
        <v>20100</v>
      </c>
      <c r="I54" s="195">
        <f>C54+D54</f>
        <v>80100</v>
      </c>
      <c r="J54" s="208">
        <f>(+E54+F54)*103.25</f>
        <v>4130000</v>
      </c>
      <c r="K54" s="196">
        <f>(G54+H54)*103.25</f>
        <v>4140325</v>
      </c>
      <c r="L54" s="191">
        <v>0</v>
      </c>
      <c r="M54" s="197"/>
      <c r="N54" s="198">
        <f>J54+K54-L54-M54</f>
        <v>8270325</v>
      </c>
    </row>
    <row r="55" spans="1:14" s="188" customFormat="1" ht="45" customHeight="1">
      <c r="A55" s="248"/>
      <c r="B55" s="213" t="s">
        <v>57</v>
      </c>
      <c r="C55" s="214">
        <f>SUM(C51:C54)</f>
        <v>48000</v>
      </c>
      <c r="D55" s="214">
        <f aca="true" t="shared" si="9" ref="D55:N55">SUM(D51:D54)</f>
        <v>93900</v>
      </c>
      <c r="E55" s="214">
        <f t="shared" si="9"/>
        <v>33000</v>
      </c>
      <c r="F55" s="214">
        <f t="shared" si="9"/>
        <v>39000</v>
      </c>
      <c r="G55" s="214">
        <f t="shared" si="9"/>
        <v>45000</v>
      </c>
      <c r="H55" s="214">
        <f t="shared" si="9"/>
        <v>24900</v>
      </c>
      <c r="I55" s="214">
        <f t="shared" si="9"/>
        <v>141900</v>
      </c>
      <c r="J55" s="214">
        <f t="shared" si="9"/>
        <v>7434000</v>
      </c>
      <c r="K55" s="214">
        <f t="shared" si="9"/>
        <v>7217175</v>
      </c>
      <c r="L55" s="214">
        <f t="shared" si="9"/>
        <v>1271788</v>
      </c>
      <c r="M55" s="214">
        <f t="shared" si="9"/>
        <v>3574500</v>
      </c>
      <c r="N55" s="214">
        <f t="shared" si="9"/>
        <v>9804887</v>
      </c>
    </row>
    <row r="56" spans="1:14" s="188" customFormat="1" ht="45" customHeight="1">
      <c r="A56" s="181">
        <v>2.5</v>
      </c>
      <c r="B56" s="182" t="s">
        <v>108</v>
      </c>
      <c r="C56" s="183"/>
      <c r="D56" s="184"/>
      <c r="E56" s="185"/>
      <c r="F56" s="183"/>
      <c r="G56" s="183"/>
      <c r="H56" s="183"/>
      <c r="I56" s="184"/>
      <c r="J56" s="185"/>
      <c r="K56" s="186"/>
      <c r="L56" s="183"/>
      <c r="M56" s="187"/>
      <c r="N56" s="184"/>
    </row>
    <row r="57" spans="1:14" s="199" customFormat="1" ht="45" customHeight="1">
      <c r="A57" s="250" t="s">
        <v>109</v>
      </c>
      <c r="B57" s="190" t="s">
        <v>110</v>
      </c>
      <c r="C57" s="191">
        <v>21000</v>
      </c>
      <c r="D57" s="211">
        <v>0</v>
      </c>
      <c r="E57" s="241">
        <v>21000</v>
      </c>
      <c r="F57" s="230">
        <v>0</v>
      </c>
      <c r="G57" s="191">
        <v>0</v>
      </c>
      <c r="H57" s="194">
        <v>0</v>
      </c>
      <c r="I57" s="195">
        <f aca="true" t="shared" si="10" ref="I57:I66">C57+D57</f>
        <v>21000</v>
      </c>
      <c r="J57" s="208">
        <f aca="true" t="shared" si="11" ref="J57:J66">(+E57+F57)*103.25</f>
        <v>2168250</v>
      </c>
      <c r="K57" s="196">
        <f aca="true" t="shared" si="12" ref="K57:K66">(G57+H57)*103.25</f>
        <v>0</v>
      </c>
      <c r="L57" s="191">
        <v>32203</v>
      </c>
      <c r="M57" s="197">
        <v>1288600</v>
      </c>
      <c r="N57" s="198">
        <f>J57+K57-L57-M57</f>
        <v>847447</v>
      </c>
    </row>
    <row r="58" spans="1:14" s="188" customFormat="1" ht="45" customHeight="1">
      <c r="A58" s="239" t="s">
        <v>111</v>
      </c>
      <c r="B58" s="224" t="s">
        <v>112</v>
      </c>
      <c r="C58" s="225">
        <v>0</v>
      </c>
      <c r="D58" s="203">
        <v>12500</v>
      </c>
      <c r="E58" s="204">
        <v>0</v>
      </c>
      <c r="F58" s="205">
        <v>2500</v>
      </c>
      <c r="G58" s="205">
        <v>5000</v>
      </c>
      <c r="H58" s="205">
        <v>5000</v>
      </c>
      <c r="I58" s="195">
        <f t="shared" si="10"/>
        <v>12500</v>
      </c>
      <c r="J58" s="208">
        <f t="shared" si="11"/>
        <v>258125</v>
      </c>
      <c r="K58" s="196">
        <f t="shared" si="12"/>
        <v>1032500</v>
      </c>
      <c r="L58" s="191">
        <v>0</v>
      </c>
      <c r="M58" s="197"/>
      <c r="N58" s="198">
        <f aca="true" t="shared" si="13" ref="N58:N69">J58+K58-L58-M58</f>
        <v>1290625</v>
      </c>
    </row>
    <row r="59" spans="1:14" s="199" customFormat="1" ht="45" customHeight="1">
      <c r="A59" s="250" t="s">
        <v>113</v>
      </c>
      <c r="B59" s="190" t="s">
        <v>114</v>
      </c>
      <c r="C59" s="191">
        <v>1000</v>
      </c>
      <c r="D59" s="211">
        <v>0</v>
      </c>
      <c r="E59" s="241">
        <v>1000</v>
      </c>
      <c r="F59" s="230">
        <v>0</v>
      </c>
      <c r="G59" s="191">
        <v>0</v>
      </c>
      <c r="H59" s="194">
        <v>0</v>
      </c>
      <c r="I59" s="195">
        <f t="shared" si="10"/>
        <v>1000</v>
      </c>
      <c r="J59" s="208">
        <f t="shared" si="11"/>
        <v>103250</v>
      </c>
      <c r="K59" s="196">
        <f t="shared" si="12"/>
        <v>0</v>
      </c>
      <c r="L59" s="191">
        <v>0</v>
      </c>
      <c r="M59" s="197"/>
      <c r="N59" s="198">
        <f t="shared" si="13"/>
        <v>103250</v>
      </c>
    </row>
    <row r="60" spans="1:14" s="199" customFormat="1" ht="45" customHeight="1">
      <c r="A60" s="250" t="s">
        <v>115</v>
      </c>
      <c r="B60" s="190" t="s">
        <v>116</v>
      </c>
      <c r="C60" s="191">
        <v>2000</v>
      </c>
      <c r="D60" s="211">
        <v>0</v>
      </c>
      <c r="E60" s="241">
        <v>2000</v>
      </c>
      <c r="F60" s="230">
        <v>0</v>
      </c>
      <c r="G60" s="191">
        <v>0</v>
      </c>
      <c r="H60" s="194">
        <v>0</v>
      </c>
      <c r="I60" s="195">
        <f t="shared" si="10"/>
        <v>2000</v>
      </c>
      <c r="J60" s="208">
        <f t="shared" si="11"/>
        <v>206500</v>
      </c>
      <c r="K60" s="196">
        <f t="shared" si="12"/>
        <v>0</v>
      </c>
      <c r="L60" s="191">
        <v>0</v>
      </c>
      <c r="M60" s="197">
        <v>232388</v>
      </c>
      <c r="N60" s="198">
        <f t="shared" si="13"/>
        <v>-25888</v>
      </c>
    </row>
    <row r="61" spans="1:14" s="199" customFormat="1" ht="45" customHeight="1">
      <c r="A61" s="250" t="s">
        <v>117</v>
      </c>
      <c r="B61" s="190" t="s">
        <v>118</v>
      </c>
      <c r="C61" s="191">
        <v>3400</v>
      </c>
      <c r="D61" s="211">
        <v>0</v>
      </c>
      <c r="E61" s="241">
        <v>3400</v>
      </c>
      <c r="F61" s="230">
        <v>0</v>
      </c>
      <c r="G61" s="191">
        <v>0</v>
      </c>
      <c r="H61" s="194">
        <v>0</v>
      </c>
      <c r="I61" s="195">
        <f t="shared" si="10"/>
        <v>3400</v>
      </c>
      <c r="J61" s="208">
        <f t="shared" si="11"/>
        <v>351050</v>
      </c>
      <c r="K61" s="196">
        <f t="shared" si="12"/>
        <v>0</v>
      </c>
      <c r="L61" s="191">
        <v>81330</v>
      </c>
      <c r="M61" s="197"/>
      <c r="N61" s="198">
        <f t="shared" si="13"/>
        <v>269720</v>
      </c>
    </row>
    <row r="62" spans="1:14" s="188" customFormat="1" ht="45" customHeight="1">
      <c r="A62" s="239" t="s">
        <v>119</v>
      </c>
      <c r="B62" s="224" t="s">
        <v>120</v>
      </c>
      <c r="C62" s="225">
        <v>7000</v>
      </c>
      <c r="D62" s="203">
        <v>0</v>
      </c>
      <c r="E62" s="241">
        <v>7000</v>
      </c>
      <c r="F62" s="230">
        <v>0</v>
      </c>
      <c r="G62" s="191">
        <v>0</v>
      </c>
      <c r="H62" s="194">
        <v>0</v>
      </c>
      <c r="I62" s="195">
        <f t="shared" si="10"/>
        <v>7000</v>
      </c>
      <c r="J62" s="208">
        <f t="shared" si="11"/>
        <v>722750</v>
      </c>
      <c r="K62" s="196">
        <f t="shared" si="12"/>
        <v>0</v>
      </c>
      <c r="L62" s="191">
        <v>233100</v>
      </c>
      <c r="M62" s="197"/>
      <c r="N62" s="198">
        <f t="shared" si="13"/>
        <v>489650</v>
      </c>
    </row>
    <row r="63" spans="1:14" s="199" customFormat="1" ht="45" customHeight="1">
      <c r="A63" s="250" t="s">
        <v>121</v>
      </c>
      <c r="B63" s="190" t="s">
        <v>122</v>
      </c>
      <c r="C63" s="191">
        <v>0</v>
      </c>
      <c r="D63" s="211">
        <v>2500</v>
      </c>
      <c r="E63" s="241">
        <v>0</v>
      </c>
      <c r="F63" s="230">
        <v>2500</v>
      </c>
      <c r="G63" s="191">
        <v>0</v>
      </c>
      <c r="H63" s="194">
        <f>+C63</f>
        <v>0</v>
      </c>
      <c r="I63" s="195">
        <f t="shared" si="10"/>
        <v>2500</v>
      </c>
      <c r="J63" s="208">
        <f t="shared" si="11"/>
        <v>258125</v>
      </c>
      <c r="K63" s="196">
        <f t="shared" si="12"/>
        <v>0</v>
      </c>
      <c r="L63" s="191">
        <v>0</v>
      </c>
      <c r="M63" s="197">
        <v>401630</v>
      </c>
      <c r="N63" s="198">
        <f t="shared" si="13"/>
        <v>-143505</v>
      </c>
    </row>
    <row r="64" spans="1:14" s="188" customFormat="1" ht="45" customHeight="1">
      <c r="A64" s="239" t="s">
        <v>123</v>
      </c>
      <c r="B64" s="224" t="s">
        <v>124</v>
      </c>
      <c r="C64" s="225">
        <v>1104</v>
      </c>
      <c r="D64" s="203">
        <v>0</v>
      </c>
      <c r="E64" s="241">
        <v>1104</v>
      </c>
      <c r="F64" s="230">
        <v>0</v>
      </c>
      <c r="G64" s="191">
        <v>0</v>
      </c>
      <c r="H64" s="194">
        <v>0</v>
      </c>
      <c r="I64" s="195">
        <f t="shared" si="10"/>
        <v>1104</v>
      </c>
      <c r="J64" s="208">
        <f t="shared" si="11"/>
        <v>113988</v>
      </c>
      <c r="K64" s="196">
        <f t="shared" si="12"/>
        <v>0</v>
      </c>
      <c r="L64" s="191">
        <v>0</v>
      </c>
      <c r="M64" s="197"/>
      <c r="N64" s="198">
        <f t="shared" si="13"/>
        <v>113988</v>
      </c>
    </row>
    <row r="65" spans="1:14" s="199" customFormat="1" ht="45" customHeight="1">
      <c r="A65" s="250" t="s">
        <v>125</v>
      </c>
      <c r="B65" s="190" t="s">
        <v>126</v>
      </c>
      <c r="C65" s="191">
        <v>0</v>
      </c>
      <c r="D65" s="211">
        <v>30000</v>
      </c>
      <c r="E65" s="241">
        <v>0</v>
      </c>
      <c r="F65" s="230">
        <v>0</v>
      </c>
      <c r="G65" s="191">
        <v>30000</v>
      </c>
      <c r="H65" s="194">
        <f>+C65</f>
        <v>0</v>
      </c>
      <c r="I65" s="195">
        <f t="shared" si="10"/>
        <v>30000</v>
      </c>
      <c r="J65" s="208">
        <f t="shared" si="11"/>
        <v>0</v>
      </c>
      <c r="K65" s="196">
        <f t="shared" si="12"/>
        <v>3097500</v>
      </c>
      <c r="L65" s="191">
        <v>0</v>
      </c>
      <c r="M65" s="197">
        <v>3883124</v>
      </c>
      <c r="N65" s="198">
        <f t="shared" si="13"/>
        <v>-785624</v>
      </c>
    </row>
    <row r="66" spans="1:14" s="199" customFormat="1" ht="45" customHeight="1">
      <c r="A66" s="250" t="s">
        <v>127</v>
      </c>
      <c r="B66" s="190" t="s">
        <v>128</v>
      </c>
      <c r="C66" s="191">
        <v>1000</v>
      </c>
      <c r="D66" s="211">
        <v>0</v>
      </c>
      <c r="E66" s="241">
        <v>1000</v>
      </c>
      <c r="F66" s="230">
        <v>0</v>
      </c>
      <c r="G66" s="191">
        <v>0</v>
      </c>
      <c r="H66" s="194">
        <v>0</v>
      </c>
      <c r="I66" s="195">
        <f t="shared" si="10"/>
        <v>1000</v>
      </c>
      <c r="J66" s="208">
        <f t="shared" si="11"/>
        <v>103250</v>
      </c>
      <c r="K66" s="196">
        <f t="shared" si="12"/>
        <v>0</v>
      </c>
      <c r="L66" s="191">
        <v>0</v>
      </c>
      <c r="M66" s="197"/>
      <c r="N66" s="198">
        <f t="shared" si="13"/>
        <v>103250</v>
      </c>
    </row>
    <row r="67" spans="1:14" s="188" customFormat="1" ht="45" customHeight="1">
      <c r="A67" s="248"/>
      <c r="B67" s="213" t="s">
        <v>57</v>
      </c>
      <c r="C67" s="214">
        <f aca="true" t="shared" si="14" ref="C67:N67">SUM(C57:C66)</f>
        <v>36504</v>
      </c>
      <c r="D67" s="214">
        <f t="shared" si="14"/>
        <v>45000</v>
      </c>
      <c r="E67" s="214">
        <f t="shared" si="14"/>
        <v>36504</v>
      </c>
      <c r="F67" s="214">
        <f t="shared" si="14"/>
        <v>5000</v>
      </c>
      <c r="G67" s="214">
        <f t="shared" si="14"/>
        <v>35000</v>
      </c>
      <c r="H67" s="214">
        <f t="shared" si="14"/>
        <v>5000</v>
      </c>
      <c r="I67" s="214">
        <f t="shared" si="14"/>
        <v>81504</v>
      </c>
      <c r="J67" s="214">
        <f t="shared" si="14"/>
        <v>4285288</v>
      </c>
      <c r="K67" s="214">
        <f t="shared" si="14"/>
        <v>4130000</v>
      </c>
      <c r="L67" s="214">
        <f t="shared" si="14"/>
        <v>346633</v>
      </c>
      <c r="M67" s="214">
        <f t="shared" si="14"/>
        <v>5805742</v>
      </c>
      <c r="N67" s="214">
        <f t="shared" si="14"/>
        <v>2262913</v>
      </c>
    </row>
    <row r="68" spans="1:14" s="199" customFormat="1" ht="45" customHeight="1">
      <c r="A68" s="212" t="s">
        <v>129</v>
      </c>
      <c r="B68" s="219" t="s">
        <v>130</v>
      </c>
      <c r="C68" s="230">
        <v>9311</v>
      </c>
      <c r="D68" s="240">
        <v>0</v>
      </c>
      <c r="E68" s="241">
        <v>0</v>
      </c>
      <c r="F68" s="230">
        <v>9311</v>
      </c>
      <c r="G68" s="191">
        <v>0</v>
      </c>
      <c r="H68" s="194">
        <v>0</v>
      </c>
      <c r="I68" s="195">
        <f>C68+D68</f>
        <v>9311</v>
      </c>
      <c r="J68" s="208">
        <f>(+E68+F68)*103.25</f>
        <v>961360.75</v>
      </c>
      <c r="K68" s="196">
        <f>(G68+H68)*103.25</f>
        <v>0</v>
      </c>
      <c r="L68" s="191">
        <v>0</v>
      </c>
      <c r="M68" s="197"/>
      <c r="N68" s="198">
        <f t="shared" si="13"/>
        <v>961360.75</v>
      </c>
    </row>
    <row r="69" spans="1:14" s="188" customFormat="1" ht="45" customHeight="1">
      <c r="A69" s="239">
        <v>2.6</v>
      </c>
      <c r="B69" s="224" t="s">
        <v>130</v>
      </c>
      <c r="C69" s="225">
        <v>0</v>
      </c>
      <c r="D69" s="203">
        <v>20000</v>
      </c>
      <c r="E69" s="204">
        <v>0</v>
      </c>
      <c r="F69" s="205">
        <v>13000</v>
      </c>
      <c r="G69" s="205">
        <v>7000</v>
      </c>
      <c r="H69" s="205">
        <v>0</v>
      </c>
      <c r="I69" s="195">
        <f>C69+D69</f>
        <v>20000</v>
      </c>
      <c r="J69" s="208">
        <f>(+E69+F69)*103.25</f>
        <v>1342250</v>
      </c>
      <c r="K69" s="196">
        <f>(G69+H69)*103.25</f>
        <v>722750</v>
      </c>
      <c r="L69" s="191">
        <v>0</v>
      </c>
      <c r="M69" s="197">
        <v>562170</v>
      </c>
      <c r="N69" s="198">
        <f t="shared" si="13"/>
        <v>1502830</v>
      </c>
    </row>
    <row r="70" spans="1:14" s="188" customFormat="1" ht="45" customHeight="1">
      <c r="A70" s="248"/>
      <c r="B70" s="213" t="s">
        <v>57</v>
      </c>
      <c r="C70" s="214">
        <f>SUM(C68:C69)</f>
        <v>9311</v>
      </c>
      <c r="D70" s="214">
        <f aca="true" t="shared" si="15" ref="D70:N70">SUM(D68:D69)</f>
        <v>20000</v>
      </c>
      <c r="E70" s="214">
        <f t="shared" si="15"/>
        <v>0</v>
      </c>
      <c r="F70" s="214">
        <f t="shared" si="15"/>
        <v>22311</v>
      </c>
      <c r="G70" s="214">
        <f t="shared" si="15"/>
        <v>7000</v>
      </c>
      <c r="H70" s="214">
        <f t="shared" si="15"/>
        <v>0</v>
      </c>
      <c r="I70" s="214">
        <f t="shared" si="15"/>
        <v>29311</v>
      </c>
      <c r="J70" s="214">
        <f t="shared" si="15"/>
        <v>2303610.75</v>
      </c>
      <c r="K70" s="214">
        <f t="shared" si="15"/>
        <v>722750</v>
      </c>
      <c r="L70" s="214">
        <f t="shared" si="15"/>
        <v>0</v>
      </c>
      <c r="M70" s="214">
        <f t="shared" si="15"/>
        <v>562170</v>
      </c>
      <c r="N70" s="214">
        <f t="shared" si="15"/>
        <v>2464190.75</v>
      </c>
    </row>
    <row r="71" spans="1:14" s="188" customFormat="1" ht="45" customHeight="1">
      <c r="A71" s="181">
        <v>2.7</v>
      </c>
      <c r="B71" s="182" t="s">
        <v>131</v>
      </c>
      <c r="C71" s="183"/>
      <c r="D71" s="184"/>
      <c r="E71" s="185"/>
      <c r="F71" s="183"/>
      <c r="G71" s="183"/>
      <c r="H71" s="183"/>
      <c r="I71" s="184"/>
      <c r="J71" s="185"/>
      <c r="K71" s="186"/>
      <c r="L71" s="183"/>
      <c r="M71" s="187"/>
      <c r="N71" s="184"/>
    </row>
    <row r="72" spans="1:14" s="199" customFormat="1" ht="45" customHeight="1">
      <c r="A72" s="212" t="s">
        <v>132</v>
      </c>
      <c r="B72" s="219" t="s">
        <v>133</v>
      </c>
      <c r="C72" s="230">
        <v>5000</v>
      </c>
      <c r="D72" s="240">
        <v>0</v>
      </c>
      <c r="E72" s="241">
        <v>1000</v>
      </c>
      <c r="F72" s="230">
        <v>4000</v>
      </c>
      <c r="G72" s="191">
        <v>0</v>
      </c>
      <c r="H72" s="194">
        <v>0</v>
      </c>
      <c r="I72" s="195">
        <f>C72+D72</f>
        <v>5000</v>
      </c>
      <c r="J72" s="208">
        <f>(+E72+F72)*103.25</f>
        <v>516250</v>
      </c>
      <c r="K72" s="196">
        <f>(G72+H72)*103.25</f>
        <v>0</v>
      </c>
      <c r="L72" s="191">
        <v>221200</v>
      </c>
      <c r="M72" s="197"/>
      <c r="N72" s="198">
        <f>J72+K72-L72-M72</f>
        <v>295050</v>
      </c>
    </row>
    <row r="73" spans="1:14" s="188" customFormat="1" ht="45" customHeight="1">
      <c r="A73" s="239" t="s">
        <v>134</v>
      </c>
      <c r="B73" s="224" t="s">
        <v>133</v>
      </c>
      <c r="C73" s="225">
        <v>0</v>
      </c>
      <c r="D73" s="203">
        <v>6500</v>
      </c>
      <c r="E73" s="204">
        <v>0</v>
      </c>
      <c r="F73" s="205">
        <v>3000</v>
      </c>
      <c r="G73" s="205">
        <v>3500</v>
      </c>
      <c r="H73" s="205">
        <v>0</v>
      </c>
      <c r="I73" s="195">
        <f>C73+D73</f>
        <v>6500</v>
      </c>
      <c r="J73" s="208">
        <f>(+E73+F73)*103.25</f>
        <v>309750</v>
      </c>
      <c r="K73" s="196">
        <f>(G73+H73)*103.25</f>
        <v>361375</v>
      </c>
      <c r="L73" s="191">
        <v>0</v>
      </c>
      <c r="M73" s="197">
        <v>361700</v>
      </c>
      <c r="N73" s="198">
        <f>J73+K73-L73-M73</f>
        <v>309425</v>
      </c>
    </row>
    <row r="74" spans="1:14" s="188" customFormat="1" ht="45" customHeight="1">
      <c r="A74" s="248"/>
      <c r="B74" s="213" t="s">
        <v>57</v>
      </c>
      <c r="C74" s="214">
        <f aca="true" t="shared" si="16" ref="C74:N74">SUM(C72:C73)</f>
        <v>5000</v>
      </c>
      <c r="D74" s="214">
        <f t="shared" si="16"/>
        <v>6500</v>
      </c>
      <c r="E74" s="214">
        <f t="shared" si="16"/>
        <v>1000</v>
      </c>
      <c r="F74" s="214">
        <f t="shared" si="16"/>
        <v>7000</v>
      </c>
      <c r="G74" s="214">
        <f t="shared" si="16"/>
        <v>3500</v>
      </c>
      <c r="H74" s="214">
        <f t="shared" si="16"/>
        <v>0</v>
      </c>
      <c r="I74" s="214">
        <f t="shared" si="16"/>
        <v>11500</v>
      </c>
      <c r="J74" s="214">
        <f t="shared" si="16"/>
        <v>826000</v>
      </c>
      <c r="K74" s="214">
        <f t="shared" si="16"/>
        <v>361375</v>
      </c>
      <c r="L74" s="214">
        <v>221200</v>
      </c>
      <c r="M74" s="214">
        <f t="shared" si="16"/>
        <v>361700</v>
      </c>
      <c r="N74" s="214">
        <f t="shared" si="16"/>
        <v>604475</v>
      </c>
    </row>
    <row r="75" spans="1:14" s="188" customFormat="1" ht="45" customHeight="1">
      <c r="A75" s="248">
        <v>2.8</v>
      </c>
      <c r="B75" s="182" t="s">
        <v>135</v>
      </c>
      <c r="C75" s="251"/>
      <c r="D75" s="252"/>
      <c r="E75" s="253"/>
      <c r="F75" s="251"/>
      <c r="G75" s="251"/>
      <c r="H75" s="251"/>
      <c r="I75" s="252"/>
      <c r="J75" s="253"/>
      <c r="K75" s="182"/>
      <c r="L75" s="251"/>
      <c r="M75" s="254"/>
      <c r="N75" s="252"/>
    </row>
    <row r="76" spans="1:14" s="199" customFormat="1" ht="45" customHeight="1">
      <c r="A76" s="212" t="s">
        <v>136</v>
      </c>
      <c r="B76" s="219" t="s">
        <v>133</v>
      </c>
      <c r="C76" s="230">
        <v>5000</v>
      </c>
      <c r="D76" s="240">
        <v>0</v>
      </c>
      <c r="E76" s="241">
        <v>1000</v>
      </c>
      <c r="F76" s="230">
        <v>1000</v>
      </c>
      <c r="G76" s="191">
        <v>3000</v>
      </c>
      <c r="H76" s="194">
        <v>0</v>
      </c>
      <c r="I76" s="195">
        <f>C76+D76</f>
        <v>5000</v>
      </c>
      <c r="J76" s="208">
        <f>(+E76+F76)*103.25</f>
        <v>206500</v>
      </c>
      <c r="K76" s="196">
        <f>(G76+H76)*103.25</f>
        <v>309750</v>
      </c>
      <c r="L76" s="191">
        <v>0</v>
      </c>
      <c r="M76" s="197">
        <v>191700</v>
      </c>
      <c r="N76" s="198">
        <f>J76+K76-L76-M76</f>
        <v>324550</v>
      </c>
    </row>
    <row r="77" spans="1:14" s="188" customFormat="1" ht="45" customHeight="1">
      <c r="A77" s="239" t="s">
        <v>137</v>
      </c>
      <c r="B77" s="224" t="s">
        <v>133</v>
      </c>
      <c r="C77" s="225">
        <v>0</v>
      </c>
      <c r="D77" s="203">
        <v>15000</v>
      </c>
      <c r="E77" s="204">
        <v>1000</v>
      </c>
      <c r="F77" s="225">
        <v>1000</v>
      </c>
      <c r="G77" s="225">
        <v>6000</v>
      </c>
      <c r="H77" s="225">
        <v>7000</v>
      </c>
      <c r="I77" s="195">
        <f>C77+D77</f>
        <v>15000</v>
      </c>
      <c r="J77" s="208">
        <f>(+E77+F77)*103.25</f>
        <v>206500</v>
      </c>
      <c r="K77" s="196">
        <f>(G77+H77)*103.25</f>
        <v>1342250</v>
      </c>
      <c r="L77" s="191">
        <v>0</v>
      </c>
      <c r="M77" s="197"/>
      <c r="N77" s="198">
        <f>J77+K77-L77-M77</f>
        <v>1548750</v>
      </c>
    </row>
    <row r="78" spans="1:14" s="188" customFormat="1" ht="45" customHeight="1">
      <c r="A78" s="239"/>
      <c r="B78" s="213" t="s">
        <v>57</v>
      </c>
      <c r="C78" s="214">
        <f>SUM(C76:C77)</f>
        <v>5000</v>
      </c>
      <c r="D78" s="214">
        <f aca="true" t="shared" si="17" ref="D78:N78">SUM(D76:D77)</f>
        <v>15000</v>
      </c>
      <c r="E78" s="214">
        <f t="shared" si="17"/>
        <v>2000</v>
      </c>
      <c r="F78" s="214">
        <f t="shared" si="17"/>
        <v>2000</v>
      </c>
      <c r="G78" s="214">
        <f t="shared" si="17"/>
        <v>9000</v>
      </c>
      <c r="H78" s="214">
        <f t="shared" si="17"/>
        <v>7000</v>
      </c>
      <c r="I78" s="214">
        <f t="shared" si="17"/>
        <v>20000</v>
      </c>
      <c r="J78" s="214">
        <f t="shared" si="17"/>
        <v>413000</v>
      </c>
      <c r="K78" s="214">
        <f t="shared" si="17"/>
        <v>1652000</v>
      </c>
      <c r="L78" s="214">
        <f t="shared" si="17"/>
        <v>0</v>
      </c>
      <c r="M78" s="214">
        <f t="shared" si="17"/>
        <v>191700</v>
      </c>
      <c r="N78" s="214">
        <f t="shared" si="17"/>
        <v>1873300</v>
      </c>
    </row>
    <row r="79" spans="1:14" ht="45" customHeight="1">
      <c r="A79" s="255"/>
      <c r="B79" s="244" t="s">
        <v>138</v>
      </c>
      <c r="C79" s="245">
        <f>+C39+C43+C49+C55+C67+C70+C74+C78</f>
        <v>139237</v>
      </c>
      <c r="D79" s="245">
        <f aca="true" t="shared" si="18" ref="D79:N79">+D39+D43+D49+D55+D67+D70+D74+D78</f>
        <v>263745</v>
      </c>
      <c r="E79" s="245">
        <f t="shared" si="18"/>
        <v>117004</v>
      </c>
      <c r="F79" s="245">
        <f t="shared" si="18"/>
        <v>111311</v>
      </c>
      <c r="G79" s="245">
        <f t="shared" si="18"/>
        <v>128922</v>
      </c>
      <c r="H79" s="245">
        <f t="shared" si="18"/>
        <v>45745</v>
      </c>
      <c r="I79" s="245">
        <f t="shared" si="18"/>
        <v>402982</v>
      </c>
      <c r="J79" s="245">
        <f t="shared" si="18"/>
        <v>23573523.75</v>
      </c>
      <c r="K79" s="245">
        <f t="shared" si="18"/>
        <v>18034367.75</v>
      </c>
      <c r="L79" s="245">
        <f t="shared" si="18"/>
        <v>3403235</v>
      </c>
      <c r="M79" s="245">
        <f t="shared" si="18"/>
        <v>21983262</v>
      </c>
      <c r="N79" s="245">
        <f t="shared" si="18"/>
        <v>16221394.5</v>
      </c>
    </row>
    <row r="80" spans="1:14" s="188" customFormat="1" ht="45" customHeight="1">
      <c r="A80" s="181">
        <v>3</v>
      </c>
      <c r="B80" s="182" t="s">
        <v>139</v>
      </c>
      <c r="C80" s="183"/>
      <c r="D80" s="184"/>
      <c r="E80" s="185"/>
      <c r="F80" s="183"/>
      <c r="G80" s="183"/>
      <c r="H80" s="183"/>
      <c r="I80" s="184"/>
      <c r="J80" s="185"/>
      <c r="K80" s="186"/>
      <c r="L80" s="183"/>
      <c r="M80" s="187"/>
      <c r="N80" s="184"/>
    </row>
    <row r="81" spans="1:14" s="188" customFormat="1" ht="45" customHeight="1">
      <c r="A81" s="181" t="s">
        <v>140</v>
      </c>
      <c r="B81" s="182" t="s">
        <v>141</v>
      </c>
      <c r="C81" s="183"/>
      <c r="D81" s="184"/>
      <c r="E81" s="185"/>
      <c r="F81" s="183"/>
      <c r="G81" s="183"/>
      <c r="H81" s="183"/>
      <c r="I81" s="184"/>
      <c r="J81" s="185"/>
      <c r="K81" s="186"/>
      <c r="L81" s="183"/>
      <c r="M81" s="187"/>
      <c r="N81" s="184"/>
    </row>
    <row r="82" spans="1:14" s="188" customFormat="1" ht="45" customHeight="1">
      <c r="A82" s="218" t="s">
        <v>142</v>
      </c>
      <c r="B82" s="224" t="s">
        <v>143</v>
      </c>
      <c r="C82" s="225">
        <v>0</v>
      </c>
      <c r="D82" s="203">
        <v>1500</v>
      </c>
      <c r="E82" s="204">
        <v>750</v>
      </c>
      <c r="F82" s="205">
        <v>0</v>
      </c>
      <c r="G82" s="205">
        <v>750</v>
      </c>
      <c r="H82" s="205">
        <v>0</v>
      </c>
      <c r="I82" s="195">
        <f>C82+D82</f>
        <v>1500</v>
      </c>
      <c r="J82" s="208">
        <f>(+E82+F82)*103.25</f>
        <v>77437.5</v>
      </c>
      <c r="K82" s="196">
        <f>(G82+H82)*103.25</f>
        <v>77437.5</v>
      </c>
      <c r="L82" s="191">
        <v>0</v>
      </c>
      <c r="M82" s="197"/>
      <c r="N82" s="198">
        <f>J82+K82-L82-M82</f>
        <v>154875</v>
      </c>
    </row>
    <row r="83" spans="1:14" s="188" customFormat="1" ht="45" customHeight="1">
      <c r="A83" s="218" t="s">
        <v>144</v>
      </c>
      <c r="B83" s="224" t="s">
        <v>145</v>
      </c>
      <c r="C83" s="225">
        <v>0</v>
      </c>
      <c r="D83" s="203">
        <v>1500</v>
      </c>
      <c r="E83" s="204">
        <v>0</v>
      </c>
      <c r="F83" s="205">
        <v>1500</v>
      </c>
      <c r="G83" s="205">
        <v>0</v>
      </c>
      <c r="H83" s="205">
        <v>0</v>
      </c>
      <c r="I83" s="195">
        <f>C83+D83</f>
        <v>1500</v>
      </c>
      <c r="J83" s="208">
        <f>(+E83+F83)*103.25</f>
        <v>154875</v>
      </c>
      <c r="K83" s="196">
        <f>(G83+H83)*103.25</f>
        <v>0</v>
      </c>
      <c r="L83" s="191">
        <v>0</v>
      </c>
      <c r="M83" s="197"/>
      <c r="N83" s="198">
        <f>J83+K83-L83-M83</f>
        <v>154875</v>
      </c>
    </row>
    <row r="84" spans="1:14" s="188" customFormat="1" ht="45" customHeight="1">
      <c r="A84" s="218" t="s">
        <v>146</v>
      </c>
      <c r="B84" s="224" t="s">
        <v>147</v>
      </c>
      <c r="C84" s="225">
        <v>0</v>
      </c>
      <c r="D84" s="203">
        <v>1500</v>
      </c>
      <c r="E84" s="204">
        <v>0</v>
      </c>
      <c r="F84" s="205">
        <v>1500</v>
      </c>
      <c r="G84" s="205">
        <v>0</v>
      </c>
      <c r="H84" s="205">
        <v>0</v>
      </c>
      <c r="I84" s="195">
        <f>C84+D84</f>
        <v>1500</v>
      </c>
      <c r="J84" s="208">
        <f>(+E84+F84)*103.25</f>
        <v>154875</v>
      </c>
      <c r="K84" s="196">
        <f>(G84+H84)*103.25</f>
        <v>0</v>
      </c>
      <c r="L84" s="191">
        <v>0</v>
      </c>
      <c r="M84" s="197">
        <v>149450</v>
      </c>
      <c r="N84" s="198">
        <f>J84+K84-L84-M84</f>
        <v>5425</v>
      </c>
    </row>
    <row r="85" spans="1:14" s="188" customFormat="1" ht="45" customHeight="1">
      <c r="A85" s="248"/>
      <c r="B85" s="213" t="s">
        <v>57</v>
      </c>
      <c r="C85" s="214">
        <f>SUM(C82:C84)</f>
        <v>0</v>
      </c>
      <c r="D85" s="214">
        <f aca="true" t="shared" si="19" ref="D85:N85">SUM(D82:D84)</f>
        <v>4500</v>
      </c>
      <c r="E85" s="214">
        <f t="shared" si="19"/>
        <v>750</v>
      </c>
      <c r="F85" s="214">
        <f t="shared" si="19"/>
        <v>3000</v>
      </c>
      <c r="G85" s="214">
        <f t="shared" si="19"/>
        <v>750</v>
      </c>
      <c r="H85" s="214">
        <f t="shared" si="19"/>
        <v>0</v>
      </c>
      <c r="I85" s="214">
        <f t="shared" si="19"/>
        <v>4500</v>
      </c>
      <c r="J85" s="214">
        <f t="shared" si="19"/>
        <v>387187.5</v>
      </c>
      <c r="K85" s="214">
        <f t="shared" si="19"/>
        <v>77437.5</v>
      </c>
      <c r="L85" s="214">
        <f t="shared" si="19"/>
        <v>0</v>
      </c>
      <c r="M85" s="214">
        <f t="shared" si="19"/>
        <v>149450</v>
      </c>
      <c r="N85" s="214">
        <f t="shared" si="19"/>
        <v>315175</v>
      </c>
    </row>
    <row r="86" spans="1:14" s="188" customFormat="1" ht="45" customHeight="1">
      <c r="A86" s="248">
        <v>3.2</v>
      </c>
      <c r="B86" s="182" t="s">
        <v>148</v>
      </c>
      <c r="C86" s="251"/>
      <c r="D86" s="252"/>
      <c r="E86" s="253"/>
      <c r="F86" s="251"/>
      <c r="G86" s="251"/>
      <c r="H86" s="251"/>
      <c r="I86" s="252"/>
      <c r="J86" s="253"/>
      <c r="K86" s="182"/>
      <c r="L86" s="251"/>
      <c r="M86" s="254"/>
      <c r="N86" s="252"/>
    </row>
    <row r="87" spans="1:14" s="188" customFormat="1" ht="45" customHeight="1">
      <c r="A87" s="239" t="s">
        <v>149</v>
      </c>
      <c r="B87" s="224" t="s">
        <v>150</v>
      </c>
      <c r="C87" s="225">
        <v>0</v>
      </c>
      <c r="D87" s="203">
        <v>5000</v>
      </c>
      <c r="E87" s="242">
        <v>0</v>
      </c>
      <c r="F87" s="225">
        <v>0</v>
      </c>
      <c r="G87" s="225">
        <v>5000</v>
      </c>
      <c r="H87" s="225">
        <v>0</v>
      </c>
      <c r="I87" s="256">
        <f>C87+D87</f>
        <v>5000</v>
      </c>
      <c r="J87" s="208">
        <f>(+E87+F87)*103.25</f>
        <v>0</v>
      </c>
      <c r="K87" s="196">
        <f>(G87+H87)*103.25</f>
        <v>516250</v>
      </c>
      <c r="L87" s="191">
        <v>0</v>
      </c>
      <c r="M87" s="197"/>
      <c r="N87" s="198">
        <f>J87+K87-L87-M87</f>
        <v>516250</v>
      </c>
    </row>
    <row r="88" spans="1:14" s="188" customFormat="1" ht="45" customHeight="1">
      <c r="A88" s="239" t="s">
        <v>151</v>
      </c>
      <c r="B88" s="224" t="s">
        <v>152</v>
      </c>
      <c r="C88" s="225">
        <v>0</v>
      </c>
      <c r="D88" s="203">
        <v>36000</v>
      </c>
      <c r="E88" s="242">
        <v>6000</v>
      </c>
      <c r="F88" s="225">
        <v>10000</v>
      </c>
      <c r="G88" s="225">
        <v>10000</v>
      </c>
      <c r="H88" s="225">
        <v>10000</v>
      </c>
      <c r="I88" s="256">
        <f>C88+D88</f>
        <v>36000</v>
      </c>
      <c r="J88" s="208">
        <f>(+E88+F88)*103.25</f>
        <v>1652000</v>
      </c>
      <c r="K88" s="196">
        <f>(G88+H88)*103.25</f>
        <v>2065000</v>
      </c>
      <c r="L88" s="191">
        <v>0</v>
      </c>
      <c r="M88" s="197"/>
      <c r="N88" s="198">
        <f>J88+K88-L88-M88</f>
        <v>3717000</v>
      </c>
    </row>
    <row r="89" spans="1:14" s="188" customFormat="1" ht="45" customHeight="1">
      <c r="A89" s="248"/>
      <c r="B89" s="213" t="s">
        <v>57</v>
      </c>
      <c r="C89" s="214">
        <f>SUM(C87:C88)</f>
        <v>0</v>
      </c>
      <c r="D89" s="215">
        <f aca="true" t="shared" si="20" ref="D89:N89">SUM(D87:D88)</f>
        <v>41000</v>
      </c>
      <c r="E89" s="215">
        <f t="shared" si="20"/>
        <v>6000</v>
      </c>
      <c r="F89" s="215">
        <f t="shared" si="20"/>
        <v>10000</v>
      </c>
      <c r="G89" s="215">
        <f t="shared" si="20"/>
        <v>15000</v>
      </c>
      <c r="H89" s="215">
        <f t="shared" si="20"/>
        <v>10000</v>
      </c>
      <c r="I89" s="215">
        <f t="shared" si="20"/>
        <v>41000</v>
      </c>
      <c r="J89" s="215">
        <f t="shared" si="20"/>
        <v>1652000</v>
      </c>
      <c r="K89" s="215">
        <f t="shared" si="20"/>
        <v>2581250</v>
      </c>
      <c r="L89" s="215">
        <f t="shared" si="20"/>
        <v>0</v>
      </c>
      <c r="M89" s="215">
        <f t="shared" si="20"/>
        <v>0</v>
      </c>
      <c r="N89" s="215">
        <f t="shared" si="20"/>
        <v>4233250</v>
      </c>
    </row>
    <row r="90" spans="1:14" s="188" customFormat="1" ht="45" customHeight="1">
      <c r="A90" s="248">
        <v>3.3</v>
      </c>
      <c r="B90" s="182" t="s">
        <v>153</v>
      </c>
      <c r="C90" s="251"/>
      <c r="D90" s="252"/>
      <c r="E90" s="253"/>
      <c r="F90" s="251"/>
      <c r="G90" s="251"/>
      <c r="H90" s="251"/>
      <c r="I90" s="252"/>
      <c r="J90" s="253"/>
      <c r="K90" s="182"/>
      <c r="L90" s="251"/>
      <c r="M90" s="254"/>
      <c r="N90" s="252"/>
    </row>
    <row r="91" spans="1:14" s="199" customFormat="1" ht="45" customHeight="1">
      <c r="A91" s="212" t="s">
        <v>154</v>
      </c>
      <c r="B91" s="219" t="s">
        <v>155</v>
      </c>
      <c r="C91" s="236">
        <v>5000</v>
      </c>
      <c r="D91" s="234">
        <v>0</v>
      </c>
      <c r="E91" s="241">
        <v>2500</v>
      </c>
      <c r="F91" s="230">
        <v>2500</v>
      </c>
      <c r="G91" s="191">
        <v>0</v>
      </c>
      <c r="H91" s="194">
        <v>0</v>
      </c>
      <c r="I91" s="256">
        <f>C91+D91</f>
        <v>5000</v>
      </c>
      <c r="J91" s="208">
        <f>(+E91+F91)*103.25</f>
        <v>516250</v>
      </c>
      <c r="K91" s="196">
        <f>(G91+H91)*103.25</f>
        <v>0</v>
      </c>
      <c r="L91" s="191">
        <v>428500</v>
      </c>
      <c r="M91" s="197"/>
      <c r="N91" s="198">
        <f>J91+K91-L91-M91</f>
        <v>87750</v>
      </c>
    </row>
    <row r="92" spans="1:14" s="188" customFormat="1" ht="45" customHeight="1">
      <c r="A92" s="239" t="s">
        <v>156</v>
      </c>
      <c r="B92" s="224" t="s">
        <v>155</v>
      </c>
      <c r="C92" s="225">
        <v>0</v>
      </c>
      <c r="D92" s="203">
        <v>5000</v>
      </c>
      <c r="E92" s="242">
        <v>0</v>
      </c>
      <c r="F92" s="225">
        <v>2500</v>
      </c>
      <c r="G92" s="225">
        <v>2500</v>
      </c>
      <c r="H92" s="225">
        <v>0</v>
      </c>
      <c r="I92" s="256">
        <f>C92+D92</f>
        <v>5000</v>
      </c>
      <c r="J92" s="208">
        <f>(+E92+F92)*103.25</f>
        <v>258125</v>
      </c>
      <c r="K92" s="196">
        <f>(G92+H92)*103.25</f>
        <v>258125</v>
      </c>
      <c r="L92" s="191">
        <v>0</v>
      </c>
      <c r="M92" s="197"/>
      <c r="N92" s="198">
        <f>J92+K92-L92-M92</f>
        <v>516250</v>
      </c>
    </row>
    <row r="93" spans="1:14" s="188" customFormat="1" ht="45" customHeight="1">
      <c r="A93" s="248"/>
      <c r="B93" s="213" t="s">
        <v>57</v>
      </c>
      <c r="C93" s="214">
        <f>SUM(C91:C92)</f>
        <v>5000</v>
      </c>
      <c r="D93" s="215">
        <f aca="true" t="shared" si="21" ref="D93:N93">SUM(D91:D92)</f>
        <v>5000</v>
      </c>
      <c r="E93" s="216">
        <f t="shared" si="21"/>
        <v>2500</v>
      </c>
      <c r="F93" s="214">
        <f t="shared" si="21"/>
        <v>5000</v>
      </c>
      <c r="G93" s="214">
        <f t="shared" si="21"/>
        <v>2500</v>
      </c>
      <c r="H93" s="214">
        <f t="shared" si="21"/>
        <v>0</v>
      </c>
      <c r="I93" s="215">
        <f t="shared" si="21"/>
        <v>10000</v>
      </c>
      <c r="J93" s="216">
        <f t="shared" si="21"/>
        <v>774375</v>
      </c>
      <c r="K93" s="216">
        <f t="shared" si="21"/>
        <v>258125</v>
      </c>
      <c r="L93" s="216">
        <f t="shared" si="21"/>
        <v>428500</v>
      </c>
      <c r="M93" s="216">
        <f t="shared" si="21"/>
        <v>0</v>
      </c>
      <c r="N93" s="216">
        <f t="shared" si="21"/>
        <v>604000</v>
      </c>
    </row>
    <row r="94" spans="1:14" s="188" customFormat="1" ht="45" customHeight="1">
      <c r="A94" s="248">
        <v>3.4</v>
      </c>
      <c r="B94" s="182" t="s">
        <v>157</v>
      </c>
      <c r="C94" s="251"/>
      <c r="D94" s="252"/>
      <c r="E94" s="253"/>
      <c r="F94" s="251"/>
      <c r="G94" s="251"/>
      <c r="H94" s="251"/>
      <c r="I94" s="252"/>
      <c r="J94" s="253"/>
      <c r="K94" s="182"/>
      <c r="L94" s="251"/>
      <c r="M94" s="254"/>
      <c r="N94" s="252"/>
    </row>
    <row r="95" spans="1:14" s="188" customFormat="1" ht="45" customHeight="1">
      <c r="A95" s="239" t="s">
        <v>158</v>
      </c>
      <c r="B95" s="224" t="s">
        <v>159</v>
      </c>
      <c r="C95" s="225">
        <v>0</v>
      </c>
      <c r="D95" s="203">
        <v>15000</v>
      </c>
      <c r="E95" s="242">
        <v>0</v>
      </c>
      <c r="F95" s="225">
        <v>5000</v>
      </c>
      <c r="G95" s="225">
        <v>10000</v>
      </c>
      <c r="H95" s="225">
        <v>0</v>
      </c>
      <c r="I95" s="256">
        <f>C95+D95</f>
        <v>15000</v>
      </c>
      <c r="J95" s="208">
        <f>(+E95+F95)*103.25</f>
        <v>516250</v>
      </c>
      <c r="K95" s="196">
        <f>(G95+H95)*103.25</f>
        <v>1032500</v>
      </c>
      <c r="L95" s="191">
        <v>0</v>
      </c>
      <c r="M95" s="197"/>
      <c r="N95" s="198">
        <f>J95+K95-L95-M95</f>
        <v>1548750</v>
      </c>
    </row>
    <row r="96" spans="1:14" s="188" customFormat="1" ht="45" customHeight="1">
      <c r="A96" s="248"/>
      <c r="B96" s="213" t="s">
        <v>57</v>
      </c>
      <c r="C96" s="214">
        <f>SUM(C95)</f>
        <v>0</v>
      </c>
      <c r="D96" s="215">
        <f aca="true" t="shared" si="22" ref="D96:N96">SUM(D95)</f>
        <v>15000</v>
      </c>
      <c r="E96" s="216">
        <f t="shared" si="22"/>
        <v>0</v>
      </c>
      <c r="F96" s="214">
        <f t="shared" si="22"/>
        <v>5000</v>
      </c>
      <c r="G96" s="214">
        <f t="shared" si="22"/>
        <v>10000</v>
      </c>
      <c r="H96" s="214">
        <f t="shared" si="22"/>
        <v>0</v>
      </c>
      <c r="I96" s="215">
        <f t="shared" si="22"/>
        <v>15000</v>
      </c>
      <c r="J96" s="216">
        <f t="shared" si="22"/>
        <v>516250</v>
      </c>
      <c r="K96" s="216">
        <f t="shared" si="22"/>
        <v>1032500</v>
      </c>
      <c r="L96" s="216">
        <f t="shared" si="22"/>
        <v>0</v>
      </c>
      <c r="M96" s="216">
        <f t="shared" si="22"/>
        <v>0</v>
      </c>
      <c r="N96" s="216">
        <f t="shared" si="22"/>
        <v>1548750</v>
      </c>
    </row>
    <row r="97" spans="1:14" s="188" customFormat="1" ht="45" customHeight="1">
      <c r="A97" s="248">
        <v>3.6</v>
      </c>
      <c r="B97" s="213" t="s">
        <v>160</v>
      </c>
      <c r="C97" s="214"/>
      <c r="D97" s="215"/>
      <c r="E97" s="216"/>
      <c r="F97" s="214"/>
      <c r="G97" s="214"/>
      <c r="H97" s="214"/>
      <c r="I97" s="215"/>
      <c r="J97" s="257"/>
      <c r="K97" s="258"/>
      <c r="L97" s="259"/>
      <c r="M97" s="260"/>
      <c r="N97" s="261">
        <f>J97-L97</f>
        <v>0</v>
      </c>
    </row>
    <row r="98" spans="1:14" s="199" customFormat="1" ht="45" customHeight="1">
      <c r="A98" s="212" t="s">
        <v>161</v>
      </c>
      <c r="B98" s="262" t="s">
        <v>162</v>
      </c>
      <c r="C98" s="191">
        <v>3500</v>
      </c>
      <c r="D98" s="211">
        <v>0</v>
      </c>
      <c r="E98" s="241">
        <v>0</v>
      </c>
      <c r="F98" s="230">
        <v>3500</v>
      </c>
      <c r="G98" s="191">
        <v>0</v>
      </c>
      <c r="H98" s="194">
        <v>0</v>
      </c>
      <c r="I98" s="256">
        <f>C98+D98</f>
        <v>3500</v>
      </c>
      <c r="J98" s="208">
        <f>(+E98+F98)*103.25</f>
        <v>361375</v>
      </c>
      <c r="K98" s="196">
        <f>(G98+H98)*103.25</f>
        <v>0</v>
      </c>
      <c r="L98" s="191">
        <v>189200</v>
      </c>
      <c r="M98" s="197"/>
      <c r="N98" s="198">
        <f>J98+K98-L98-M98</f>
        <v>172175</v>
      </c>
    </row>
    <row r="99" spans="1:14" s="188" customFormat="1" ht="45" customHeight="1">
      <c r="A99" s="239" t="s">
        <v>163</v>
      </c>
      <c r="B99" s="224" t="s">
        <v>162</v>
      </c>
      <c r="C99" s="225">
        <v>0</v>
      </c>
      <c r="D99" s="203">
        <v>3500</v>
      </c>
      <c r="E99" s="242">
        <v>0</v>
      </c>
      <c r="F99" s="225">
        <v>3500</v>
      </c>
      <c r="G99" s="225">
        <v>0</v>
      </c>
      <c r="H99" s="225">
        <v>0</v>
      </c>
      <c r="I99" s="256">
        <f>C99+D99</f>
        <v>3500</v>
      </c>
      <c r="J99" s="208">
        <f>(+E99+F99)*103.25</f>
        <v>361375</v>
      </c>
      <c r="K99" s="196">
        <f>(G99+H99)*103.25</f>
        <v>0</v>
      </c>
      <c r="L99" s="191">
        <v>0</v>
      </c>
      <c r="M99" s="197"/>
      <c r="N99" s="198">
        <f>J99+K99-L99-M99</f>
        <v>361375</v>
      </c>
    </row>
    <row r="100" spans="1:14" s="199" customFormat="1" ht="45" customHeight="1">
      <c r="A100" s="212" t="s">
        <v>164</v>
      </c>
      <c r="B100" s="262" t="s">
        <v>165</v>
      </c>
      <c r="C100" s="191">
        <v>1500</v>
      </c>
      <c r="D100" s="211">
        <v>0</v>
      </c>
      <c r="E100" s="241">
        <v>0</v>
      </c>
      <c r="F100" s="230">
        <v>0</v>
      </c>
      <c r="G100" s="191">
        <v>0</v>
      </c>
      <c r="H100" s="194">
        <v>0</v>
      </c>
      <c r="I100" s="256">
        <f>C100+D100</f>
        <v>1500</v>
      </c>
      <c r="J100" s="208">
        <f>(+E100+F100)*103.25</f>
        <v>0</v>
      </c>
      <c r="K100" s="196">
        <f>(G100+H100)*103.25</f>
        <v>0</v>
      </c>
      <c r="L100" s="191">
        <v>0</v>
      </c>
      <c r="M100" s="197"/>
      <c r="N100" s="198">
        <f>J100+K100-L100-M100</f>
        <v>0</v>
      </c>
    </row>
    <row r="101" spans="1:14" s="188" customFormat="1" ht="45" customHeight="1">
      <c r="A101" s="239" t="s">
        <v>166</v>
      </c>
      <c r="B101" s="224" t="s">
        <v>165</v>
      </c>
      <c r="C101" s="225">
        <v>0</v>
      </c>
      <c r="D101" s="203">
        <v>1500</v>
      </c>
      <c r="E101" s="242">
        <v>0</v>
      </c>
      <c r="F101" s="225">
        <f>1500*2</f>
        <v>3000</v>
      </c>
      <c r="G101" s="225">
        <v>0</v>
      </c>
      <c r="H101" s="225">
        <v>0</v>
      </c>
      <c r="I101" s="256">
        <f>C101+D101</f>
        <v>1500</v>
      </c>
      <c r="J101" s="208">
        <f>(+E101+F101)*103.25</f>
        <v>309750</v>
      </c>
      <c r="K101" s="196">
        <f>(G101+H101)*103.25</f>
        <v>0</v>
      </c>
      <c r="L101" s="191">
        <v>0</v>
      </c>
      <c r="M101" s="197">
        <v>149000</v>
      </c>
      <c r="N101" s="198">
        <f>J101+K101-L101-M101</f>
        <v>160750</v>
      </c>
    </row>
    <row r="102" spans="1:14" s="188" customFormat="1" ht="45" customHeight="1">
      <c r="A102" s="248"/>
      <c r="B102" s="213" t="s">
        <v>57</v>
      </c>
      <c r="C102" s="214">
        <f>SUM(C98:C101)</f>
        <v>5000</v>
      </c>
      <c r="D102" s="215">
        <f aca="true" t="shared" si="23" ref="D102:N102">SUM(D98:D101)</f>
        <v>5000</v>
      </c>
      <c r="E102" s="216">
        <f t="shared" si="23"/>
        <v>0</v>
      </c>
      <c r="F102" s="214">
        <f t="shared" si="23"/>
        <v>10000</v>
      </c>
      <c r="G102" s="214">
        <f t="shared" si="23"/>
        <v>0</v>
      </c>
      <c r="H102" s="214">
        <f t="shared" si="23"/>
        <v>0</v>
      </c>
      <c r="I102" s="215">
        <f t="shared" si="23"/>
        <v>10000</v>
      </c>
      <c r="J102" s="216">
        <f t="shared" si="23"/>
        <v>1032500</v>
      </c>
      <c r="K102" s="216">
        <f t="shared" si="23"/>
        <v>0</v>
      </c>
      <c r="L102" s="216">
        <f t="shared" si="23"/>
        <v>189200</v>
      </c>
      <c r="M102" s="216">
        <f t="shared" si="23"/>
        <v>149000</v>
      </c>
      <c r="N102" s="216">
        <f t="shared" si="23"/>
        <v>694300</v>
      </c>
    </row>
    <row r="103" spans="1:14" s="188" customFormat="1" ht="45" customHeight="1">
      <c r="A103" s="248">
        <v>3.7</v>
      </c>
      <c r="B103" s="182" t="s">
        <v>167</v>
      </c>
      <c r="C103" s="183"/>
      <c r="D103" s="184"/>
      <c r="E103" s="185"/>
      <c r="F103" s="183"/>
      <c r="G103" s="183"/>
      <c r="H103" s="183"/>
      <c r="I103" s="184"/>
      <c r="J103" s="185"/>
      <c r="K103" s="186"/>
      <c r="L103" s="183"/>
      <c r="M103" s="187"/>
      <c r="N103" s="184"/>
    </row>
    <row r="104" spans="1:14" s="199" customFormat="1" ht="45" customHeight="1">
      <c r="A104" s="212" t="s">
        <v>168</v>
      </c>
      <c r="B104" s="219" t="s">
        <v>169</v>
      </c>
      <c r="C104" s="230">
        <v>5000</v>
      </c>
      <c r="D104" s="234">
        <v>0</v>
      </c>
      <c r="E104" s="241">
        <v>0</v>
      </c>
      <c r="F104" s="230">
        <v>5000</v>
      </c>
      <c r="G104" s="191">
        <v>0</v>
      </c>
      <c r="H104" s="194">
        <v>0</v>
      </c>
      <c r="I104" s="195">
        <f>C104+D104</f>
        <v>5000</v>
      </c>
      <c r="J104" s="208">
        <f>(+E104+F104)*103.25</f>
        <v>516250</v>
      </c>
      <c r="K104" s="196">
        <f>(G104+H104)*103.25</f>
        <v>0</v>
      </c>
      <c r="L104" s="191">
        <v>0</v>
      </c>
      <c r="M104" s="197"/>
      <c r="N104" s="198">
        <f>J104+K104-L104-M104</f>
        <v>516250</v>
      </c>
    </row>
    <row r="105" spans="1:14" s="188" customFormat="1" ht="45" customHeight="1">
      <c r="A105" s="239" t="s">
        <v>170</v>
      </c>
      <c r="B105" s="224" t="s">
        <v>169</v>
      </c>
      <c r="C105" s="225">
        <v>0</v>
      </c>
      <c r="D105" s="203">
        <v>10000</v>
      </c>
      <c r="E105" s="242">
        <v>0</v>
      </c>
      <c r="F105" s="225">
        <v>5000</v>
      </c>
      <c r="G105" s="225">
        <f>5000*2</f>
        <v>10000</v>
      </c>
      <c r="H105" s="225">
        <v>0</v>
      </c>
      <c r="I105" s="195">
        <f>C105+D105</f>
        <v>10000</v>
      </c>
      <c r="J105" s="208">
        <f>(+E105+F105)*103.25</f>
        <v>516250</v>
      </c>
      <c r="K105" s="196">
        <f>(G105+H105)*103.25</f>
        <v>1032500</v>
      </c>
      <c r="L105" s="191">
        <v>0</v>
      </c>
      <c r="M105" s="197">
        <v>978574</v>
      </c>
      <c r="N105" s="198">
        <f>J105+K105-L105-M105</f>
        <v>570176</v>
      </c>
    </row>
    <row r="106" spans="1:14" s="188" customFormat="1" ht="45" customHeight="1">
      <c r="A106" s="248"/>
      <c r="B106" s="213" t="s">
        <v>57</v>
      </c>
      <c r="C106" s="214">
        <f>SUM(C104:C105)</f>
        <v>5000</v>
      </c>
      <c r="D106" s="215">
        <f aca="true" t="shared" si="24" ref="D106:N106">SUM(D104:D105)</f>
        <v>10000</v>
      </c>
      <c r="E106" s="216">
        <f t="shared" si="24"/>
        <v>0</v>
      </c>
      <c r="F106" s="214">
        <f t="shared" si="24"/>
        <v>10000</v>
      </c>
      <c r="G106" s="214">
        <f t="shared" si="24"/>
        <v>10000</v>
      </c>
      <c r="H106" s="214">
        <f t="shared" si="24"/>
        <v>0</v>
      </c>
      <c r="I106" s="215">
        <f t="shared" si="24"/>
        <v>15000</v>
      </c>
      <c r="J106" s="216">
        <f t="shared" si="24"/>
        <v>1032500</v>
      </c>
      <c r="K106" s="216">
        <f t="shared" si="24"/>
        <v>1032500</v>
      </c>
      <c r="L106" s="216">
        <f t="shared" si="24"/>
        <v>0</v>
      </c>
      <c r="M106" s="216">
        <f t="shared" si="24"/>
        <v>978574</v>
      </c>
      <c r="N106" s="216">
        <f t="shared" si="24"/>
        <v>1086426</v>
      </c>
    </row>
    <row r="107" spans="1:14" s="180" customFormat="1" ht="45" customHeight="1">
      <c r="A107" s="263"/>
      <c r="B107" s="244" t="s">
        <v>171</v>
      </c>
      <c r="C107" s="245">
        <f>+C85+C89+C93+C96+C102+C106</f>
        <v>15000</v>
      </c>
      <c r="D107" s="246">
        <f aca="true" t="shared" si="25" ref="D107:N107">+D85+D89+D93+D96+D102+D106</f>
        <v>80500</v>
      </c>
      <c r="E107" s="247">
        <f t="shared" si="25"/>
        <v>9250</v>
      </c>
      <c r="F107" s="245">
        <f t="shared" si="25"/>
        <v>43000</v>
      </c>
      <c r="G107" s="245">
        <f t="shared" si="25"/>
        <v>38250</v>
      </c>
      <c r="H107" s="245">
        <f t="shared" si="25"/>
        <v>10000</v>
      </c>
      <c r="I107" s="246">
        <f t="shared" si="25"/>
        <v>95500</v>
      </c>
      <c r="J107" s="247">
        <f t="shared" si="25"/>
        <v>5394812.5</v>
      </c>
      <c r="K107" s="247">
        <f t="shared" si="25"/>
        <v>4981812.5</v>
      </c>
      <c r="L107" s="247">
        <f t="shared" si="25"/>
        <v>617700</v>
      </c>
      <c r="M107" s="247">
        <f t="shared" si="25"/>
        <v>1277024</v>
      </c>
      <c r="N107" s="247">
        <f t="shared" si="25"/>
        <v>8481901</v>
      </c>
    </row>
    <row r="108" spans="1:14" s="188" customFormat="1" ht="45" customHeight="1">
      <c r="A108" s="181">
        <v>4</v>
      </c>
      <c r="B108" s="182" t="s">
        <v>139</v>
      </c>
      <c r="C108" s="183"/>
      <c r="D108" s="184"/>
      <c r="E108" s="185"/>
      <c r="F108" s="183"/>
      <c r="G108" s="183"/>
      <c r="H108" s="183"/>
      <c r="I108" s="184"/>
      <c r="J108" s="185"/>
      <c r="K108" s="186"/>
      <c r="L108" s="183"/>
      <c r="M108" s="187"/>
      <c r="N108" s="184"/>
    </row>
    <row r="109" spans="1:14" s="188" customFormat="1" ht="45" customHeight="1">
      <c r="A109" s="181">
        <v>4.1</v>
      </c>
      <c r="B109" s="182" t="s">
        <v>172</v>
      </c>
      <c r="C109" s="183"/>
      <c r="D109" s="184"/>
      <c r="E109" s="185"/>
      <c r="F109" s="183"/>
      <c r="G109" s="183"/>
      <c r="H109" s="183"/>
      <c r="I109" s="184"/>
      <c r="J109" s="185"/>
      <c r="K109" s="186"/>
      <c r="L109" s="183"/>
      <c r="M109" s="187"/>
      <c r="N109" s="184"/>
    </row>
    <row r="110" spans="1:14" s="199" customFormat="1" ht="45" customHeight="1">
      <c r="A110" s="250" t="s">
        <v>173</v>
      </c>
      <c r="B110" s="264" t="s">
        <v>174</v>
      </c>
      <c r="C110" s="191">
        <v>48332</v>
      </c>
      <c r="D110" s="211">
        <v>0</v>
      </c>
      <c r="E110" s="193">
        <v>0</v>
      </c>
      <c r="F110" s="196">
        <v>48332</v>
      </c>
      <c r="G110" s="191">
        <v>0</v>
      </c>
      <c r="H110" s="194">
        <v>0</v>
      </c>
      <c r="I110" s="195">
        <f aca="true" t="shared" si="26" ref="I110:I157">C110+D110</f>
        <v>48332</v>
      </c>
      <c r="J110" s="208">
        <f aca="true" t="shared" si="27" ref="J110:J157">(+E110+F110)*103.25</f>
        <v>4990279</v>
      </c>
      <c r="K110" s="196">
        <f aca="true" t="shared" si="28" ref="K110:K157">(G110+H110)*103.25</f>
        <v>0</v>
      </c>
      <c r="L110" s="191">
        <v>4800425</v>
      </c>
      <c r="M110" s="197"/>
      <c r="N110" s="198">
        <f aca="true" t="shared" si="29" ref="N110:N159">J110+K110-L110-M110</f>
        <v>189854</v>
      </c>
    </row>
    <row r="111" spans="1:14" s="188" customFormat="1" ht="45" customHeight="1">
      <c r="A111" s="218" t="s">
        <v>175</v>
      </c>
      <c r="B111" s="265" t="s">
        <v>176</v>
      </c>
      <c r="C111" s="225">
        <v>0</v>
      </c>
      <c r="D111" s="266">
        <v>25000</v>
      </c>
      <c r="E111" s="193">
        <v>0</v>
      </c>
      <c r="F111" s="267">
        <v>0</v>
      </c>
      <c r="G111" s="238">
        <v>25000</v>
      </c>
      <c r="H111" s="238">
        <f>+C111-E111-F111</f>
        <v>0</v>
      </c>
      <c r="I111" s="195">
        <f t="shared" si="26"/>
        <v>25000</v>
      </c>
      <c r="J111" s="208">
        <f t="shared" si="27"/>
        <v>0</v>
      </c>
      <c r="K111" s="196">
        <f t="shared" si="28"/>
        <v>2581250</v>
      </c>
      <c r="L111" s="191">
        <v>0</v>
      </c>
      <c r="M111" s="197"/>
      <c r="N111" s="198">
        <f t="shared" si="29"/>
        <v>2581250</v>
      </c>
    </row>
    <row r="112" spans="1:14" s="199" customFormat="1" ht="45" customHeight="1">
      <c r="A112" s="250" t="s">
        <v>177</v>
      </c>
      <c r="B112" s="264" t="s">
        <v>178</v>
      </c>
      <c r="C112" s="191">
        <v>5000</v>
      </c>
      <c r="D112" s="211">
        <v>0</v>
      </c>
      <c r="E112" s="193">
        <v>0</v>
      </c>
      <c r="F112" s="196">
        <v>5000</v>
      </c>
      <c r="G112" s="191">
        <v>0</v>
      </c>
      <c r="H112" s="194">
        <v>0</v>
      </c>
      <c r="I112" s="195">
        <f t="shared" si="26"/>
        <v>5000</v>
      </c>
      <c r="J112" s="208">
        <f t="shared" si="27"/>
        <v>516250</v>
      </c>
      <c r="K112" s="196">
        <f t="shared" si="28"/>
        <v>0</v>
      </c>
      <c r="L112" s="191">
        <v>0</v>
      </c>
      <c r="M112" s="197"/>
      <c r="N112" s="198">
        <f t="shared" si="29"/>
        <v>516250</v>
      </c>
    </row>
    <row r="113" spans="1:14" s="188" customFormat="1" ht="45" customHeight="1">
      <c r="A113" s="218" t="s">
        <v>179</v>
      </c>
      <c r="B113" s="265" t="s">
        <v>180</v>
      </c>
      <c r="C113" s="225">
        <v>0</v>
      </c>
      <c r="D113" s="266">
        <v>45000</v>
      </c>
      <c r="E113" s="193">
        <v>0</v>
      </c>
      <c r="F113" s="267">
        <v>0</v>
      </c>
      <c r="G113" s="238">
        <v>45000</v>
      </c>
      <c r="H113" s="238">
        <v>0</v>
      </c>
      <c r="I113" s="195">
        <f t="shared" si="26"/>
        <v>45000</v>
      </c>
      <c r="J113" s="208">
        <f t="shared" si="27"/>
        <v>0</v>
      </c>
      <c r="K113" s="196">
        <f t="shared" si="28"/>
        <v>4646250</v>
      </c>
      <c r="L113" s="191">
        <v>0</v>
      </c>
      <c r="M113" s="197">
        <v>4833178</v>
      </c>
      <c r="N113" s="198">
        <f t="shared" si="29"/>
        <v>-186928</v>
      </c>
    </row>
    <row r="114" spans="1:14" s="199" customFormat="1" ht="45" customHeight="1">
      <c r="A114" s="250" t="s">
        <v>181</v>
      </c>
      <c r="B114" s="264" t="s">
        <v>182</v>
      </c>
      <c r="C114" s="191">
        <v>28196</v>
      </c>
      <c r="D114" s="211">
        <v>0</v>
      </c>
      <c r="E114" s="193">
        <v>0</v>
      </c>
      <c r="F114" s="196">
        <v>28196</v>
      </c>
      <c r="G114" s="191">
        <v>0</v>
      </c>
      <c r="H114" s="194">
        <v>0</v>
      </c>
      <c r="I114" s="195">
        <f t="shared" si="26"/>
        <v>28196</v>
      </c>
      <c r="J114" s="208">
        <f t="shared" si="27"/>
        <v>2911237</v>
      </c>
      <c r="K114" s="196">
        <f t="shared" si="28"/>
        <v>0</v>
      </c>
      <c r="L114" s="191">
        <v>2819557</v>
      </c>
      <c r="M114" s="197"/>
      <c r="N114" s="198">
        <f t="shared" si="29"/>
        <v>91680</v>
      </c>
    </row>
    <row r="115" spans="1:14" s="188" customFormat="1" ht="45" customHeight="1">
      <c r="A115" s="218" t="s">
        <v>183</v>
      </c>
      <c r="B115" s="265" t="s">
        <v>184</v>
      </c>
      <c r="C115" s="225">
        <v>0</v>
      </c>
      <c r="D115" s="266">
        <v>35000</v>
      </c>
      <c r="E115" s="193">
        <v>0</v>
      </c>
      <c r="F115" s="267">
        <v>0</v>
      </c>
      <c r="G115" s="238">
        <v>35000</v>
      </c>
      <c r="H115" s="238">
        <v>0</v>
      </c>
      <c r="I115" s="195">
        <f t="shared" si="26"/>
        <v>35000</v>
      </c>
      <c r="J115" s="208">
        <f t="shared" si="27"/>
        <v>0</v>
      </c>
      <c r="K115" s="196">
        <f t="shared" si="28"/>
        <v>3613750</v>
      </c>
      <c r="L115" s="191">
        <v>0</v>
      </c>
      <c r="M115" s="197"/>
      <c r="N115" s="198">
        <f t="shared" si="29"/>
        <v>3613750</v>
      </c>
    </row>
    <row r="116" spans="1:14" s="199" customFormat="1" ht="45" customHeight="1">
      <c r="A116" s="250" t="s">
        <v>185</v>
      </c>
      <c r="B116" s="264" t="s">
        <v>186</v>
      </c>
      <c r="C116" s="191">
        <v>17458</v>
      </c>
      <c r="D116" s="211">
        <v>0</v>
      </c>
      <c r="E116" s="193">
        <v>0</v>
      </c>
      <c r="F116" s="196">
        <v>17458</v>
      </c>
      <c r="G116" s="191">
        <v>0</v>
      </c>
      <c r="H116" s="194">
        <v>0</v>
      </c>
      <c r="I116" s="195">
        <f t="shared" si="26"/>
        <v>17458</v>
      </c>
      <c r="J116" s="208">
        <f t="shared" si="27"/>
        <v>1802538.5</v>
      </c>
      <c r="K116" s="196">
        <f t="shared" si="28"/>
        <v>0</v>
      </c>
      <c r="L116" s="191">
        <v>0</v>
      </c>
      <c r="M116" s="197"/>
      <c r="N116" s="198">
        <f t="shared" si="29"/>
        <v>1802538.5</v>
      </c>
    </row>
    <row r="117" spans="1:14" s="188" customFormat="1" ht="45" customHeight="1">
      <c r="A117" s="218" t="s">
        <v>187</v>
      </c>
      <c r="B117" s="265" t="s">
        <v>188</v>
      </c>
      <c r="C117" s="225">
        <v>0</v>
      </c>
      <c r="D117" s="266">
        <v>12000</v>
      </c>
      <c r="E117" s="193">
        <v>0</v>
      </c>
      <c r="F117" s="267">
        <v>0</v>
      </c>
      <c r="G117" s="238">
        <v>12000</v>
      </c>
      <c r="H117" s="238">
        <v>0</v>
      </c>
      <c r="I117" s="195">
        <f t="shared" si="26"/>
        <v>12000</v>
      </c>
      <c r="J117" s="208">
        <f t="shared" si="27"/>
        <v>0</v>
      </c>
      <c r="K117" s="196">
        <f t="shared" si="28"/>
        <v>1239000</v>
      </c>
      <c r="L117" s="191">
        <v>0</v>
      </c>
      <c r="M117" s="197"/>
      <c r="N117" s="198">
        <f t="shared" si="29"/>
        <v>1239000</v>
      </c>
    </row>
    <row r="118" spans="1:14" s="199" customFormat="1" ht="45" customHeight="1">
      <c r="A118" s="250" t="s">
        <v>189</v>
      </c>
      <c r="B118" s="264" t="s">
        <v>190</v>
      </c>
      <c r="C118" s="191">
        <v>3800</v>
      </c>
      <c r="D118" s="211">
        <v>0</v>
      </c>
      <c r="E118" s="193">
        <v>0</v>
      </c>
      <c r="F118" s="196">
        <v>3800</v>
      </c>
      <c r="G118" s="191">
        <v>0</v>
      </c>
      <c r="H118" s="194">
        <v>0</v>
      </c>
      <c r="I118" s="195">
        <f t="shared" si="26"/>
        <v>3800</v>
      </c>
      <c r="J118" s="208">
        <f t="shared" si="27"/>
        <v>392350</v>
      </c>
      <c r="K118" s="196">
        <f t="shared" si="28"/>
        <v>0</v>
      </c>
      <c r="L118" s="191">
        <v>380000</v>
      </c>
      <c r="M118" s="197"/>
      <c r="N118" s="198">
        <f t="shared" si="29"/>
        <v>12350</v>
      </c>
    </row>
    <row r="119" spans="1:14" s="188" customFormat="1" ht="45" customHeight="1">
      <c r="A119" s="218" t="s">
        <v>191</v>
      </c>
      <c r="B119" s="265" t="s">
        <v>192</v>
      </c>
      <c r="C119" s="225">
        <v>0</v>
      </c>
      <c r="D119" s="266">
        <v>4500</v>
      </c>
      <c r="E119" s="193">
        <v>0</v>
      </c>
      <c r="F119" s="267">
        <v>0</v>
      </c>
      <c r="G119" s="238">
        <v>4500</v>
      </c>
      <c r="H119" s="238">
        <f>+C119-E119</f>
        <v>0</v>
      </c>
      <c r="I119" s="195">
        <f t="shared" si="26"/>
        <v>4500</v>
      </c>
      <c r="J119" s="208">
        <f t="shared" si="27"/>
        <v>0</v>
      </c>
      <c r="K119" s="196">
        <f t="shared" si="28"/>
        <v>464625</v>
      </c>
      <c r="L119" s="191">
        <v>0</v>
      </c>
      <c r="M119" s="197"/>
      <c r="N119" s="198">
        <f t="shared" si="29"/>
        <v>464625</v>
      </c>
    </row>
    <row r="120" spans="1:14" s="199" customFormat="1" ht="45" customHeight="1">
      <c r="A120" s="250" t="s">
        <v>193</v>
      </c>
      <c r="B120" s="264" t="s">
        <v>194</v>
      </c>
      <c r="C120" s="191">
        <v>1005</v>
      </c>
      <c r="D120" s="211">
        <v>0</v>
      </c>
      <c r="E120" s="193">
        <v>0</v>
      </c>
      <c r="F120" s="196">
        <v>1005</v>
      </c>
      <c r="G120" s="191">
        <v>0</v>
      </c>
      <c r="H120" s="194">
        <v>0</v>
      </c>
      <c r="I120" s="195">
        <f t="shared" si="26"/>
        <v>1005</v>
      </c>
      <c r="J120" s="208">
        <f t="shared" si="27"/>
        <v>103766.25</v>
      </c>
      <c r="K120" s="196">
        <f t="shared" si="28"/>
        <v>0</v>
      </c>
      <c r="L120" s="191">
        <v>0</v>
      </c>
      <c r="M120" s="197"/>
      <c r="N120" s="198">
        <f t="shared" si="29"/>
        <v>103766.25</v>
      </c>
    </row>
    <row r="121" spans="1:14" s="188" customFormat="1" ht="45" customHeight="1">
      <c r="A121" s="218" t="s">
        <v>195</v>
      </c>
      <c r="B121" s="265" t="s">
        <v>196</v>
      </c>
      <c r="C121" s="225">
        <v>0</v>
      </c>
      <c r="D121" s="266">
        <v>5500</v>
      </c>
      <c r="E121" s="193">
        <v>0</v>
      </c>
      <c r="F121" s="267">
        <v>0</v>
      </c>
      <c r="G121" s="238">
        <v>5500</v>
      </c>
      <c r="H121" s="238">
        <v>0</v>
      </c>
      <c r="I121" s="195">
        <f t="shared" si="26"/>
        <v>5500</v>
      </c>
      <c r="J121" s="208">
        <f t="shared" si="27"/>
        <v>0</v>
      </c>
      <c r="K121" s="196">
        <f t="shared" si="28"/>
        <v>567875</v>
      </c>
      <c r="L121" s="191">
        <v>0</v>
      </c>
      <c r="M121" s="197"/>
      <c r="N121" s="198">
        <f t="shared" si="29"/>
        <v>567875</v>
      </c>
    </row>
    <row r="122" spans="1:14" s="199" customFormat="1" ht="45" customHeight="1">
      <c r="A122" s="250" t="s">
        <v>197</v>
      </c>
      <c r="B122" s="264" t="s">
        <v>198</v>
      </c>
      <c r="C122" s="191">
        <v>764</v>
      </c>
      <c r="D122" s="211">
        <v>0</v>
      </c>
      <c r="E122" s="193">
        <v>0</v>
      </c>
      <c r="F122" s="196">
        <v>764</v>
      </c>
      <c r="G122" s="191">
        <v>0</v>
      </c>
      <c r="H122" s="194">
        <v>0</v>
      </c>
      <c r="I122" s="195">
        <f t="shared" si="26"/>
        <v>764</v>
      </c>
      <c r="J122" s="208">
        <f t="shared" si="27"/>
        <v>78883</v>
      </c>
      <c r="K122" s="196">
        <f t="shared" si="28"/>
        <v>0</v>
      </c>
      <c r="L122" s="191">
        <v>0</v>
      </c>
      <c r="M122" s="197"/>
      <c r="N122" s="198">
        <f t="shared" si="29"/>
        <v>78883</v>
      </c>
    </row>
    <row r="123" spans="1:14" s="188" customFormat="1" ht="45" customHeight="1">
      <c r="A123" s="218" t="s">
        <v>199</v>
      </c>
      <c r="B123" s="265" t="s">
        <v>200</v>
      </c>
      <c r="C123" s="225">
        <v>0</v>
      </c>
      <c r="D123" s="266">
        <v>25000</v>
      </c>
      <c r="E123" s="193">
        <v>0</v>
      </c>
      <c r="F123" s="267">
        <v>0</v>
      </c>
      <c r="G123" s="238">
        <v>25000</v>
      </c>
      <c r="H123" s="238">
        <v>0</v>
      </c>
      <c r="I123" s="195">
        <f t="shared" si="26"/>
        <v>25000</v>
      </c>
      <c r="J123" s="208">
        <f t="shared" si="27"/>
        <v>0</v>
      </c>
      <c r="K123" s="196">
        <f t="shared" si="28"/>
        <v>2581250</v>
      </c>
      <c r="L123" s="191">
        <v>0</v>
      </c>
      <c r="M123" s="197"/>
      <c r="N123" s="198">
        <f t="shared" si="29"/>
        <v>2581250</v>
      </c>
    </row>
    <row r="124" spans="1:14" s="199" customFormat="1" ht="45" customHeight="1">
      <c r="A124" s="250" t="s">
        <v>201</v>
      </c>
      <c r="B124" s="264" t="s">
        <v>202</v>
      </c>
      <c r="C124" s="191">
        <v>2920</v>
      </c>
      <c r="D124" s="211">
        <v>0</v>
      </c>
      <c r="E124" s="193">
        <v>0</v>
      </c>
      <c r="F124" s="196">
        <v>2920</v>
      </c>
      <c r="G124" s="191">
        <v>0</v>
      </c>
      <c r="H124" s="194">
        <v>0</v>
      </c>
      <c r="I124" s="195">
        <f t="shared" si="26"/>
        <v>2920</v>
      </c>
      <c r="J124" s="208">
        <f t="shared" si="27"/>
        <v>301490</v>
      </c>
      <c r="K124" s="196">
        <f t="shared" si="28"/>
        <v>0</v>
      </c>
      <c r="L124" s="191">
        <v>0</v>
      </c>
      <c r="M124" s="197"/>
      <c r="N124" s="198">
        <f t="shared" si="29"/>
        <v>301490</v>
      </c>
    </row>
    <row r="125" spans="1:14" s="188" customFormat="1" ht="45" customHeight="1">
      <c r="A125" s="218" t="s">
        <v>203</v>
      </c>
      <c r="B125" s="265" t="s">
        <v>204</v>
      </c>
      <c r="C125" s="225">
        <v>0</v>
      </c>
      <c r="D125" s="266">
        <v>20000</v>
      </c>
      <c r="E125" s="193">
        <v>0</v>
      </c>
      <c r="F125" s="267">
        <v>0</v>
      </c>
      <c r="G125" s="238">
        <v>20000</v>
      </c>
      <c r="H125" s="238">
        <v>0</v>
      </c>
      <c r="I125" s="195">
        <f t="shared" si="26"/>
        <v>20000</v>
      </c>
      <c r="J125" s="208">
        <f t="shared" si="27"/>
        <v>0</v>
      </c>
      <c r="K125" s="196">
        <f t="shared" si="28"/>
        <v>2065000</v>
      </c>
      <c r="L125" s="191">
        <v>0</v>
      </c>
      <c r="M125" s="197"/>
      <c r="N125" s="198">
        <f t="shared" si="29"/>
        <v>2065000</v>
      </c>
    </row>
    <row r="126" spans="1:14" s="199" customFormat="1" ht="45" customHeight="1">
      <c r="A126" s="250" t="s">
        <v>205</v>
      </c>
      <c r="B126" s="264" t="s">
        <v>206</v>
      </c>
      <c r="C126" s="191">
        <v>600</v>
      </c>
      <c r="D126" s="211">
        <v>0</v>
      </c>
      <c r="E126" s="193">
        <v>0</v>
      </c>
      <c r="F126" s="196">
        <v>600</v>
      </c>
      <c r="G126" s="191">
        <v>0</v>
      </c>
      <c r="H126" s="194">
        <v>0</v>
      </c>
      <c r="I126" s="195">
        <f t="shared" si="26"/>
        <v>600</v>
      </c>
      <c r="J126" s="208">
        <f t="shared" si="27"/>
        <v>61950</v>
      </c>
      <c r="K126" s="196">
        <f t="shared" si="28"/>
        <v>0</v>
      </c>
      <c r="L126" s="191">
        <v>0</v>
      </c>
      <c r="M126" s="197"/>
      <c r="N126" s="198">
        <f t="shared" si="29"/>
        <v>61950</v>
      </c>
    </row>
    <row r="127" spans="1:14" s="188" customFormat="1" ht="45" customHeight="1">
      <c r="A127" s="218" t="s">
        <v>207</v>
      </c>
      <c r="B127" s="224" t="s">
        <v>208</v>
      </c>
      <c r="C127" s="225">
        <v>0</v>
      </c>
      <c r="D127" s="266">
        <v>6000</v>
      </c>
      <c r="E127" s="193">
        <v>0</v>
      </c>
      <c r="F127" s="267">
        <v>0</v>
      </c>
      <c r="G127" s="238">
        <v>6000</v>
      </c>
      <c r="H127" s="238">
        <v>0</v>
      </c>
      <c r="I127" s="195">
        <f t="shared" si="26"/>
        <v>6000</v>
      </c>
      <c r="J127" s="208">
        <f t="shared" si="27"/>
        <v>0</v>
      </c>
      <c r="K127" s="196">
        <f t="shared" si="28"/>
        <v>619500</v>
      </c>
      <c r="L127" s="191">
        <v>0</v>
      </c>
      <c r="M127" s="197"/>
      <c r="N127" s="198">
        <f t="shared" si="29"/>
        <v>619500</v>
      </c>
    </row>
    <row r="128" spans="1:14" s="199" customFormat="1" ht="45" customHeight="1">
      <c r="A128" s="250" t="s">
        <v>209</v>
      </c>
      <c r="B128" s="264" t="s">
        <v>210</v>
      </c>
      <c r="C128" s="191">
        <v>500</v>
      </c>
      <c r="D128" s="211">
        <v>0</v>
      </c>
      <c r="E128" s="193">
        <v>0</v>
      </c>
      <c r="F128" s="196">
        <v>500</v>
      </c>
      <c r="G128" s="191">
        <v>0</v>
      </c>
      <c r="H128" s="194">
        <v>0</v>
      </c>
      <c r="I128" s="195">
        <f t="shared" si="26"/>
        <v>500</v>
      </c>
      <c r="J128" s="208">
        <f t="shared" si="27"/>
        <v>51625</v>
      </c>
      <c r="K128" s="196">
        <f t="shared" si="28"/>
        <v>0</v>
      </c>
      <c r="L128" s="191">
        <v>0</v>
      </c>
      <c r="M128" s="197"/>
      <c r="N128" s="198">
        <f t="shared" si="29"/>
        <v>51625</v>
      </c>
    </row>
    <row r="129" spans="1:14" s="188" customFormat="1" ht="45" customHeight="1">
      <c r="A129" s="218" t="s">
        <v>211</v>
      </c>
      <c r="B129" s="224" t="s">
        <v>212</v>
      </c>
      <c r="C129" s="225">
        <v>0</v>
      </c>
      <c r="D129" s="266">
        <v>8000</v>
      </c>
      <c r="E129" s="193">
        <v>0</v>
      </c>
      <c r="F129" s="267">
        <v>0</v>
      </c>
      <c r="G129" s="238">
        <v>8000</v>
      </c>
      <c r="H129" s="238">
        <v>0</v>
      </c>
      <c r="I129" s="195">
        <f t="shared" si="26"/>
        <v>8000</v>
      </c>
      <c r="J129" s="208">
        <f t="shared" si="27"/>
        <v>0</v>
      </c>
      <c r="K129" s="196">
        <f t="shared" si="28"/>
        <v>826000</v>
      </c>
      <c r="L129" s="191">
        <v>0</v>
      </c>
      <c r="M129" s="197"/>
      <c r="N129" s="198">
        <f t="shared" si="29"/>
        <v>826000</v>
      </c>
    </row>
    <row r="130" spans="1:14" s="199" customFormat="1" ht="45" customHeight="1">
      <c r="A130" s="250" t="s">
        <v>213</v>
      </c>
      <c r="B130" s="264" t="s">
        <v>214</v>
      </c>
      <c r="C130" s="191">
        <v>500</v>
      </c>
      <c r="D130" s="211">
        <v>0</v>
      </c>
      <c r="E130" s="193">
        <v>0</v>
      </c>
      <c r="F130" s="196">
        <v>500</v>
      </c>
      <c r="G130" s="191">
        <v>0</v>
      </c>
      <c r="H130" s="194">
        <v>0</v>
      </c>
      <c r="I130" s="195">
        <f t="shared" si="26"/>
        <v>500</v>
      </c>
      <c r="J130" s="208">
        <f t="shared" si="27"/>
        <v>51625</v>
      </c>
      <c r="K130" s="196">
        <f t="shared" si="28"/>
        <v>0</v>
      </c>
      <c r="L130" s="191">
        <v>0</v>
      </c>
      <c r="M130" s="197"/>
      <c r="N130" s="198">
        <f t="shared" si="29"/>
        <v>51625</v>
      </c>
    </row>
    <row r="131" spans="1:14" s="188" customFormat="1" ht="45" customHeight="1">
      <c r="A131" s="218" t="s">
        <v>215</v>
      </c>
      <c r="B131" s="224" t="s">
        <v>216</v>
      </c>
      <c r="C131" s="225">
        <v>0</v>
      </c>
      <c r="D131" s="266">
        <v>95000</v>
      </c>
      <c r="E131" s="193">
        <v>0</v>
      </c>
      <c r="F131" s="267">
        <v>0</v>
      </c>
      <c r="G131" s="238">
        <v>95000</v>
      </c>
      <c r="H131" s="238">
        <v>0</v>
      </c>
      <c r="I131" s="195">
        <f t="shared" si="26"/>
        <v>95000</v>
      </c>
      <c r="J131" s="208">
        <f t="shared" si="27"/>
        <v>0</v>
      </c>
      <c r="K131" s="196">
        <f t="shared" si="28"/>
        <v>9808750</v>
      </c>
      <c r="L131" s="191">
        <v>0</v>
      </c>
      <c r="M131" s="197"/>
      <c r="N131" s="198">
        <f t="shared" si="29"/>
        <v>9808750</v>
      </c>
    </row>
    <row r="132" spans="1:14" s="199" customFormat="1" ht="45" customHeight="1">
      <c r="A132" s="250" t="s">
        <v>217</v>
      </c>
      <c r="B132" s="264" t="s">
        <v>218</v>
      </c>
      <c r="C132" s="191">
        <v>300</v>
      </c>
      <c r="D132" s="211">
        <v>0</v>
      </c>
      <c r="E132" s="193">
        <v>0</v>
      </c>
      <c r="F132" s="196">
        <v>300</v>
      </c>
      <c r="G132" s="191">
        <v>0</v>
      </c>
      <c r="H132" s="194">
        <v>0</v>
      </c>
      <c r="I132" s="195">
        <f t="shared" si="26"/>
        <v>300</v>
      </c>
      <c r="J132" s="208">
        <f t="shared" si="27"/>
        <v>30975</v>
      </c>
      <c r="K132" s="196">
        <f t="shared" si="28"/>
        <v>0</v>
      </c>
      <c r="L132" s="191">
        <v>0</v>
      </c>
      <c r="M132" s="197"/>
      <c r="N132" s="198">
        <f t="shared" si="29"/>
        <v>30975</v>
      </c>
    </row>
    <row r="133" spans="1:14" s="188" customFormat="1" ht="45" customHeight="1">
      <c r="A133" s="218" t="s">
        <v>219</v>
      </c>
      <c r="B133" s="224" t="s">
        <v>220</v>
      </c>
      <c r="C133" s="225">
        <v>0</v>
      </c>
      <c r="D133" s="266">
        <v>20000</v>
      </c>
      <c r="E133" s="193">
        <v>0</v>
      </c>
      <c r="F133" s="267">
        <v>0</v>
      </c>
      <c r="G133" s="238">
        <v>20000</v>
      </c>
      <c r="H133" s="238">
        <v>0</v>
      </c>
      <c r="I133" s="195">
        <f t="shared" si="26"/>
        <v>20000</v>
      </c>
      <c r="J133" s="208">
        <f t="shared" si="27"/>
        <v>0</v>
      </c>
      <c r="K133" s="196">
        <f t="shared" si="28"/>
        <v>2065000</v>
      </c>
      <c r="L133" s="191">
        <v>0</v>
      </c>
      <c r="M133" s="197"/>
      <c r="N133" s="198">
        <f t="shared" si="29"/>
        <v>2065000</v>
      </c>
    </row>
    <row r="134" spans="1:14" s="199" customFormat="1" ht="45" customHeight="1">
      <c r="A134" s="250" t="s">
        <v>221</v>
      </c>
      <c r="B134" s="264" t="s">
        <v>222</v>
      </c>
      <c r="C134" s="191">
        <v>360</v>
      </c>
      <c r="D134" s="211">
        <v>0</v>
      </c>
      <c r="E134" s="193">
        <v>0</v>
      </c>
      <c r="F134" s="196">
        <v>360</v>
      </c>
      <c r="G134" s="191">
        <v>0</v>
      </c>
      <c r="H134" s="194">
        <v>0</v>
      </c>
      <c r="I134" s="195">
        <f t="shared" si="26"/>
        <v>360</v>
      </c>
      <c r="J134" s="208">
        <f t="shared" si="27"/>
        <v>37170</v>
      </c>
      <c r="K134" s="196">
        <f t="shared" si="28"/>
        <v>0</v>
      </c>
      <c r="L134" s="191">
        <v>0</v>
      </c>
      <c r="M134" s="197"/>
      <c r="N134" s="198">
        <f t="shared" si="29"/>
        <v>37170</v>
      </c>
    </row>
    <row r="135" spans="1:14" s="188" customFormat="1" ht="45" customHeight="1">
      <c r="A135" s="218" t="s">
        <v>223</v>
      </c>
      <c r="B135" s="224" t="s">
        <v>224</v>
      </c>
      <c r="C135" s="225">
        <v>0</v>
      </c>
      <c r="D135" s="266">
        <v>1000</v>
      </c>
      <c r="E135" s="193">
        <v>0</v>
      </c>
      <c r="F135" s="267">
        <v>0</v>
      </c>
      <c r="G135" s="238">
        <v>1000</v>
      </c>
      <c r="H135" s="238">
        <v>0</v>
      </c>
      <c r="I135" s="195">
        <f t="shared" si="26"/>
        <v>1000</v>
      </c>
      <c r="J135" s="208">
        <f t="shared" si="27"/>
        <v>0</v>
      </c>
      <c r="K135" s="196">
        <f t="shared" si="28"/>
        <v>103250</v>
      </c>
      <c r="L135" s="191">
        <v>0</v>
      </c>
      <c r="M135" s="197"/>
      <c r="N135" s="198">
        <f t="shared" si="29"/>
        <v>103250</v>
      </c>
    </row>
    <row r="136" spans="1:14" s="188" customFormat="1" ht="45" customHeight="1">
      <c r="A136" s="218" t="s">
        <v>225</v>
      </c>
      <c r="B136" s="224" t="s">
        <v>226</v>
      </c>
      <c r="C136" s="225">
        <f>98088/103.25</f>
        <v>950.0048426150121</v>
      </c>
      <c r="D136" s="266">
        <v>0</v>
      </c>
      <c r="E136" s="193">
        <v>0</v>
      </c>
      <c r="F136" s="267">
        <v>950</v>
      </c>
      <c r="G136" s="238">
        <v>1500</v>
      </c>
      <c r="H136" s="238">
        <v>0</v>
      </c>
      <c r="I136" s="195">
        <f t="shared" si="26"/>
        <v>950.0048426150121</v>
      </c>
      <c r="J136" s="208">
        <f t="shared" si="27"/>
        <v>98087.5</v>
      </c>
      <c r="K136" s="196">
        <f t="shared" si="28"/>
        <v>154875</v>
      </c>
      <c r="L136" s="191">
        <v>0</v>
      </c>
      <c r="M136" s="197"/>
      <c r="N136" s="198">
        <f t="shared" si="29"/>
        <v>252962.5</v>
      </c>
    </row>
    <row r="137" spans="1:14" s="199" customFormat="1" ht="45" customHeight="1">
      <c r="A137" s="250" t="s">
        <v>227</v>
      </c>
      <c r="B137" s="264" t="s">
        <v>228</v>
      </c>
      <c r="C137" s="191">
        <v>0</v>
      </c>
      <c r="D137" s="211">
        <v>1500</v>
      </c>
      <c r="E137" s="193">
        <v>0</v>
      </c>
      <c r="F137" s="196">
        <v>0</v>
      </c>
      <c r="G137" s="191">
        <v>0</v>
      </c>
      <c r="H137" s="194">
        <f>+C137</f>
        <v>0</v>
      </c>
      <c r="I137" s="195">
        <f t="shared" si="26"/>
        <v>1500</v>
      </c>
      <c r="J137" s="208">
        <f t="shared" si="27"/>
        <v>0</v>
      </c>
      <c r="K137" s="196">
        <f t="shared" si="28"/>
        <v>0</v>
      </c>
      <c r="L137" s="191">
        <v>0</v>
      </c>
      <c r="M137" s="197">
        <v>29397</v>
      </c>
      <c r="N137" s="198">
        <f t="shared" si="29"/>
        <v>-29397</v>
      </c>
    </row>
    <row r="138" spans="1:14" s="199" customFormat="1" ht="45" customHeight="1">
      <c r="A138" s="250" t="s">
        <v>229</v>
      </c>
      <c r="B138" s="264" t="s">
        <v>230</v>
      </c>
      <c r="C138" s="191">
        <v>60000</v>
      </c>
      <c r="D138" s="211">
        <v>0</v>
      </c>
      <c r="E138" s="193">
        <v>0</v>
      </c>
      <c r="F138" s="196">
        <v>60000</v>
      </c>
      <c r="G138" s="191">
        <v>0</v>
      </c>
      <c r="H138" s="194">
        <v>0</v>
      </c>
      <c r="I138" s="195">
        <f t="shared" si="26"/>
        <v>60000</v>
      </c>
      <c r="J138" s="208">
        <f t="shared" si="27"/>
        <v>6195000</v>
      </c>
      <c r="K138" s="196">
        <f t="shared" si="28"/>
        <v>0</v>
      </c>
      <c r="L138" s="191">
        <v>0</v>
      </c>
      <c r="M138" s="197"/>
      <c r="N138" s="198">
        <f t="shared" si="29"/>
        <v>6195000</v>
      </c>
    </row>
    <row r="139" spans="1:14" s="188" customFormat="1" ht="45" customHeight="1">
      <c r="A139" s="218" t="s">
        <v>231</v>
      </c>
      <c r="B139" s="224" t="s">
        <v>232</v>
      </c>
      <c r="C139" s="225">
        <v>0</v>
      </c>
      <c r="D139" s="266">
        <v>1500</v>
      </c>
      <c r="E139" s="193">
        <v>0</v>
      </c>
      <c r="F139" s="267">
        <v>0</v>
      </c>
      <c r="G139" s="238">
        <v>1500</v>
      </c>
      <c r="H139" s="238">
        <v>0</v>
      </c>
      <c r="I139" s="195">
        <f t="shared" si="26"/>
        <v>1500</v>
      </c>
      <c r="J139" s="208">
        <f t="shared" si="27"/>
        <v>0</v>
      </c>
      <c r="K139" s="196">
        <f t="shared" si="28"/>
        <v>154875</v>
      </c>
      <c r="L139" s="191">
        <v>0</v>
      </c>
      <c r="M139" s="197"/>
      <c r="N139" s="198">
        <f t="shared" si="29"/>
        <v>154875</v>
      </c>
    </row>
    <row r="140" spans="1:14" s="188" customFormat="1" ht="45" customHeight="1">
      <c r="A140" s="218" t="s">
        <v>233</v>
      </c>
      <c r="B140" s="224" t="s">
        <v>234</v>
      </c>
      <c r="C140" s="225">
        <v>0</v>
      </c>
      <c r="D140" s="266">
        <v>600</v>
      </c>
      <c r="E140" s="193">
        <v>0</v>
      </c>
      <c r="F140" s="267">
        <v>0</v>
      </c>
      <c r="G140" s="238">
        <v>600</v>
      </c>
      <c r="H140" s="238">
        <v>0</v>
      </c>
      <c r="I140" s="195">
        <f t="shared" si="26"/>
        <v>600</v>
      </c>
      <c r="J140" s="208">
        <f t="shared" si="27"/>
        <v>0</v>
      </c>
      <c r="K140" s="196">
        <f t="shared" si="28"/>
        <v>61950</v>
      </c>
      <c r="L140" s="191">
        <v>0</v>
      </c>
      <c r="M140" s="197"/>
      <c r="N140" s="198">
        <f t="shared" si="29"/>
        <v>61950</v>
      </c>
    </row>
    <row r="141" spans="1:14" s="199" customFormat="1" ht="45" customHeight="1">
      <c r="A141" s="250" t="s">
        <v>235</v>
      </c>
      <c r="B141" s="264" t="s">
        <v>236</v>
      </c>
      <c r="C141" s="191">
        <v>55547</v>
      </c>
      <c r="D141" s="211">
        <v>0</v>
      </c>
      <c r="E141" s="193">
        <v>0</v>
      </c>
      <c r="F141" s="196">
        <v>55547</v>
      </c>
      <c r="G141" s="191">
        <v>0</v>
      </c>
      <c r="H141" s="194">
        <v>0</v>
      </c>
      <c r="I141" s="195">
        <f t="shared" si="26"/>
        <v>55547</v>
      </c>
      <c r="J141" s="208">
        <f t="shared" si="27"/>
        <v>5735227.75</v>
      </c>
      <c r="K141" s="196">
        <f t="shared" si="28"/>
        <v>0</v>
      </c>
      <c r="L141" s="191">
        <v>255200</v>
      </c>
      <c r="M141" s="197"/>
      <c r="N141" s="198">
        <f t="shared" si="29"/>
        <v>5480027.75</v>
      </c>
    </row>
    <row r="142" spans="1:14" s="188" customFormat="1" ht="45" customHeight="1">
      <c r="A142" s="218" t="s">
        <v>237</v>
      </c>
      <c r="B142" s="224" t="s">
        <v>238</v>
      </c>
      <c r="C142" s="225">
        <v>0</v>
      </c>
      <c r="D142" s="266">
        <v>2000</v>
      </c>
      <c r="E142" s="193">
        <v>0</v>
      </c>
      <c r="F142" s="267">
        <v>0</v>
      </c>
      <c r="G142" s="238">
        <v>2000</v>
      </c>
      <c r="H142" s="238">
        <v>0</v>
      </c>
      <c r="I142" s="195">
        <f t="shared" si="26"/>
        <v>2000</v>
      </c>
      <c r="J142" s="208">
        <f t="shared" si="27"/>
        <v>0</v>
      </c>
      <c r="K142" s="196">
        <f t="shared" si="28"/>
        <v>206500</v>
      </c>
      <c r="L142" s="191">
        <v>0</v>
      </c>
      <c r="M142" s="197"/>
      <c r="N142" s="198">
        <f t="shared" si="29"/>
        <v>206500</v>
      </c>
    </row>
    <row r="143" spans="1:14" s="188" customFormat="1" ht="45" customHeight="1">
      <c r="A143" s="218" t="s">
        <v>239</v>
      </c>
      <c r="B143" s="224" t="s">
        <v>240</v>
      </c>
      <c r="C143" s="225">
        <v>0</v>
      </c>
      <c r="D143" s="266">
        <v>20400</v>
      </c>
      <c r="E143" s="193">
        <v>0</v>
      </c>
      <c r="F143" s="267">
        <v>0</v>
      </c>
      <c r="G143" s="238">
        <v>20400</v>
      </c>
      <c r="H143" s="238">
        <v>0</v>
      </c>
      <c r="I143" s="195">
        <f t="shared" si="26"/>
        <v>20400</v>
      </c>
      <c r="J143" s="208">
        <f t="shared" si="27"/>
        <v>0</v>
      </c>
      <c r="K143" s="196">
        <f t="shared" si="28"/>
        <v>2106300</v>
      </c>
      <c r="L143" s="191">
        <v>0</v>
      </c>
      <c r="M143" s="197"/>
      <c r="N143" s="198">
        <f t="shared" si="29"/>
        <v>2106300</v>
      </c>
    </row>
    <row r="144" spans="1:14" s="188" customFormat="1" ht="45" customHeight="1">
      <c r="A144" s="218" t="s">
        <v>241</v>
      </c>
      <c r="B144" s="224" t="s">
        <v>242</v>
      </c>
      <c r="C144" s="225">
        <v>0</v>
      </c>
      <c r="D144" s="266">
        <v>6000</v>
      </c>
      <c r="E144" s="193">
        <v>0</v>
      </c>
      <c r="F144" s="267">
        <v>0</v>
      </c>
      <c r="G144" s="238">
        <v>6000</v>
      </c>
      <c r="H144" s="238">
        <v>0</v>
      </c>
      <c r="I144" s="195">
        <f t="shared" si="26"/>
        <v>6000</v>
      </c>
      <c r="J144" s="208">
        <f t="shared" si="27"/>
        <v>0</v>
      </c>
      <c r="K144" s="196">
        <f t="shared" si="28"/>
        <v>619500</v>
      </c>
      <c r="L144" s="191">
        <v>0</v>
      </c>
      <c r="M144" s="197"/>
      <c r="N144" s="198">
        <f t="shared" si="29"/>
        <v>619500</v>
      </c>
    </row>
    <row r="145" spans="1:14" s="199" customFormat="1" ht="45" customHeight="1">
      <c r="A145" s="250" t="s">
        <v>243</v>
      </c>
      <c r="B145" s="264" t="s">
        <v>244</v>
      </c>
      <c r="C145" s="191">
        <v>2000</v>
      </c>
      <c r="D145" s="211">
        <v>0</v>
      </c>
      <c r="E145" s="193">
        <v>0</v>
      </c>
      <c r="F145" s="196">
        <v>2000</v>
      </c>
      <c r="G145" s="191">
        <v>0</v>
      </c>
      <c r="H145" s="194">
        <v>0</v>
      </c>
      <c r="I145" s="195">
        <f t="shared" si="26"/>
        <v>2000</v>
      </c>
      <c r="J145" s="208">
        <f t="shared" si="27"/>
        <v>206500</v>
      </c>
      <c r="K145" s="196">
        <f t="shared" si="28"/>
        <v>0</v>
      </c>
      <c r="L145" s="191">
        <v>0</v>
      </c>
      <c r="M145" s="197"/>
      <c r="N145" s="198">
        <f t="shared" si="29"/>
        <v>206500</v>
      </c>
    </row>
    <row r="146" spans="1:14" s="188" customFormat="1" ht="45" customHeight="1">
      <c r="A146" s="218" t="s">
        <v>245</v>
      </c>
      <c r="B146" s="224" t="s">
        <v>246</v>
      </c>
      <c r="C146" s="225">
        <v>0</v>
      </c>
      <c r="D146" s="266">
        <v>12000</v>
      </c>
      <c r="E146" s="193">
        <v>0</v>
      </c>
      <c r="F146" s="267">
        <v>0</v>
      </c>
      <c r="G146" s="238">
        <v>12000</v>
      </c>
      <c r="H146" s="238">
        <v>0</v>
      </c>
      <c r="I146" s="195">
        <f t="shared" si="26"/>
        <v>12000</v>
      </c>
      <c r="J146" s="208">
        <f t="shared" si="27"/>
        <v>0</v>
      </c>
      <c r="K146" s="196">
        <f t="shared" si="28"/>
        <v>1239000</v>
      </c>
      <c r="L146" s="191">
        <v>0</v>
      </c>
      <c r="M146" s="197"/>
      <c r="N146" s="198">
        <f t="shared" si="29"/>
        <v>1239000</v>
      </c>
    </row>
    <row r="147" spans="1:14" s="199" customFormat="1" ht="45" customHeight="1">
      <c r="A147" s="250" t="s">
        <v>247</v>
      </c>
      <c r="B147" s="264" t="s">
        <v>248</v>
      </c>
      <c r="C147" s="191">
        <v>30000</v>
      </c>
      <c r="D147" s="211">
        <v>0</v>
      </c>
      <c r="E147" s="193">
        <v>0</v>
      </c>
      <c r="F147" s="196">
        <v>30000</v>
      </c>
      <c r="G147" s="191">
        <v>0</v>
      </c>
      <c r="H147" s="194">
        <v>0</v>
      </c>
      <c r="I147" s="195">
        <f t="shared" si="26"/>
        <v>30000</v>
      </c>
      <c r="J147" s="208">
        <f t="shared" si="27"/>
        <v>3097500</v>
      </c>
      <c r="K147" s="196">
        <f t="shared" si="28"/>
        <v>0</v>
      </c>
      <c r="L147" s="191">
        <v>0</v>
      </c>
      <c r="M147" s="197"/>
      <c r="N147" s="198">
        <f t="shared" si="29"/>
        <v>3097500</v>
      </c>
    </row>
    <row r="148" spans="1:14" s="188" customFormat="1" ht="45" customHeight="1">
      <c r="A148" s="218" t="s">
        <v>249</v>
      </c>
      <c r="B148" s="224" t="s">
        <v>250</v>
      </c>
      <c r="C148" s="225">
        <v>0</v>
      </c>
      <c r="D148" s="266">
        <v>12000</v>
      </c>
      <c r="E148" s="193">
        <v>0</v>
      </c>
      <c r="F148" s="267">
        <v>0</v>
      </c>
      <c r="G148" s="238">
        <v>12000</v>
      </c>
      <c r="H148" s="238">
        <v>0</v>
      </c>
      <c r="I148" s="195">
        <f t="shared" si="26"/>
        <v>12000</v>
      </c>
      <c r="J148" s="208">
        <f t="shared" si="27"/>
        <v>0</v>
      </c>
      <c r="K148" s="196">
        <f t="shared" si="28"/>
        <v>1239000</v>
      </c>
      <c r="L148" s="191">
        <v>0</v>
      </c>
      <c r="M148" s="197"/>
      <c r="N148" s="198">
        <f t="shared" si="29"/>
        <v>1239000</v>
      </c>
    </row>
    <row r="149" spans="1:14" s="199" customFormat="1" ht="45" customHeight="1">
      <c r="A149" s="250" t="s">
        <v>251</v>
      </c>
      <c r="B149" s="264" t="s">
        <v>252</v>
      </c>
      <c r="C149" s="191">
        <v>4000</v>
      </c>
      <c r="D149" s="211">
        <v>0</v>
      </c>
      <c r="E149" s="193">
        <v>0</v>
      </c>
      <c r="F149" s="196">
        <v>4000</v>
      </c>
      <c r="G149" s="191">
        <v>0</v>
      </c>
      <c r="H149" s="194">
        <v>0</v>
      </c>
      <c r="I149" s="195">
        <f t="shared" si="26"/>
        <v>4000</v>
      </c>
      <c r="J149" s="208">
        <f t="shared" si="27"/>
        <v>413000</v>
      </c>
      <c r="K149" s="196">
        <f t="shared" si="28"/>
        <v>0</v>
      </c>
      <c r="L149" s="191">
        <v>0</v>
      </c>
      <c r="M149" s="197"/>
      <c r="N149" s="198">
        <f t="shared" si="29"/>
        <v>413000</v>
      </c>
    </row>
    <row r="150" spans="1:14" s="188" customFormat="1" ht="45" customHeight="1">
      <c r="A150" s="218" t="s">
        <v>253</v>
      </c>
      <c r="B150" s="224" t="s">
        <v>254</v>
      </c>
      <c r="C150" s="225">
        <v>0</v>
      </c>
      <c r="D150" s="266">
        <v>15000</v>
      </c>
      <c r="E150" s="193">
        <v>0</v>
      </c>
      <c r="F150" s="267">
        <v>0</v>
      </c>
      <c r="G150" s="238">
        <v>15000</v>
      </c>
      <c r="H150" s="238">
        <v>0</v>
      </c>
      <c r="I150" s="195">
        <f t="shared" si="26"/>
        <v>15000</v>
      </c>
      <c r="J150" s="208">
        <f t="shared" si="27"/>
        <v>0</v>
      </c>
      <c r="K150" s="196">
        <f t="shared" si="28"/>
        <v>1548750</v>
      </c>
      <c r="L150" s="191">
        <v>0</v>
      </c>
      <c r="M150" s="197"/>
      <c r="N150" s="198">
        <f t="shared" si="29"/>
        <v>1548750</v>
      </c>
    </row>
    <row r="151" spans="1:14" s="199" customFormat="1" ht="45" customHeight="1">
      <c r="A151" s="250" t="s">
        <v>255</v>
      </c>
      <c r="B151" s="264" t="s">
        <v>256</v>
      </c>
      <c r="C151" s="191">
        <v>4000</v>
      </c>
      <c r="D151" s="211">
        <v>0</v>
      </c>
      <c r="E151" s="193">
        <v>0</v>
      </c>
      <c r="F151" s="196">
        <v>4000</v>
      </c>
      <c r="G151" s="191">
        <v>0</v>
      </c>
      <c r="H151" s="194">
        <v>0</v>
      </c>
      <c r="I151" s="195">
        <f t="shared" si="26"/>
        <v>4000</v>
      </c>
      <c r="J151" s="208">
        <f t="shared" si="27"/>
        <v>413000</v>
      </c>
      <c r="K151" s="196">
        <f t="shared" si="28"/>
        <v>0</v>
      </c>
      <c r="L151" s="191">
        <v>0</v>
      </c>
      <c r="M151" s="197">
        <v>702728</v>
      </c>
      <c r="N151" s="198">
        <f t="shared" si="29"/>
        <v>-289728</v>
      </c>
    </row>
    <row r="152" spans="1:14" s="199" customFormat="1" ht="45" customHeight="1">
      <c r="A152" s="250" t="s">
        <v>257</v>
      </c>
      <c r="B152" s="264" t="s">
        <v>258</v>
      </c>
      <c r="C152" s="191">
        <v>4000</v>
      </c>
      <c r="D152" s="211">
        <v>0</v>
      </c>
      <c r="E152" s="193">
        <v>0</v>
      </c>
      <c r="F152" s="196">
        <v>4000</v>
      </c>
      <c r="G152" s="191">
        <v>0</v>
      </c>
      <c r="H152" s="194">
        <v>0</v>
      </c>
      <c r="I152" s="195">
        <f t="shared" si="26"/>
        <v>4000</v>
      </c>
      <c r="J152" s="208">
        <f t="shared" si="27"/>
        <v>413000</v>
      </c>
      <c r="K152" s="196">
        <f t="shared" si="28"/>
        <v>0</v>
      </c>
      <c r="L152" s="191">
        <v>0</v>
      </c>
      <c r="M152" s="197"/>
      <c r="N152" s="198">
        <f t="shared" si="29"/>
        <v>413000</v>
      </c>
    </row>
    <row r="153" spans="1:14" s="199" customFormat="1" ht="45" customHeight="1">
      <c r="A153" s="250" t="s">
        <v>259</v>
      </c>
      <c r="B153" s="264" t="s">
        <v>260</v>
      </c>
      <c r="C153" s="191">
        <v>5000</v>
      </c>
      <c r="D153" s="211">
        <v>0</v>
      </c>
      <c r="E153" s="193">
        <v>0</v>
      </c>
      <c r="F153" s="196">
        <v>5000</v>
      </c>
      <c r="G153" s="191">
        <v>0</v>
      </c>
      <c r="H153" s="194">
        <v>0</v>
      </c>
      <c r="I153" s="195">
        <f t="shared" si="26"/>
        <v>5000</v>
      </c>
      <c r="J153" s="208">
        <f t="shared" si="27"/>
        <v>516250</v>
      </c>
      <c r="K153" s="196">
        <f t="shared" si="28"/>
        <v>0</v>
      </c>
      <c r="L153" s="191">
        <v>0</v>
      </c>
      <c r="M153" s="197">
        <v>168939</v>
      </c>
      <c r="N153" s="198">
        <f t="shared" si="29"/>
        <v>347311</v>
      </c>
    </row>
    <row r="154" spans="1:14" s="199" customFormat="1" ht="45" customHeight="1">
      <c r="A154" s="250" t="s">
        <v>261</v>
      </c>
      <c r="B154" s="264" t="s">
        <v>262</v>
      </c>
      <c r="C154" s="191">
        <v>2000</v>
      </c>
      <c r="D154" s="211">
        <v>0</v>
      </c>
      <c r="E154" s="193">
        <v>0</v>
      </c>
      <c r="F154" s="196">
        <v>2000</v>
      </c>
      <c r="G154" s="191">
        <v>0</v>
      </c>
      <c r="H154" s="194">
        <v>0</v>
      </c>
      <c r="I154" s="195">
        <f t="shared" si="26"/>
        <v>2000</v>
      </c>
      <c r="J154" s="208">
        <f t="shared" si="27"/>
        <v>206500</v>
      </c>
      <c r="K154" s="196">
        <f t="shared" si="28"/>
        <v>0</v>
      </c>
      <c r="L154" s="191">
        <v>0</v>
      </c>
      <c r="M154" s="197"/>
      <c r="N154" s="198">
        <f t="shared" si="29"/>
        <v>206500</v>
      </c>
    </row>
    <row r="155" spans="1:14" s="199" customFormat="1" ht="45" customHeight="1">
      <c r="A155" s="250" t="s">
        <v>263</v>
      </c>
      <c r="B155" s="264" t="s">
        <v>264</v>
      </c>
      <c r="C155" s="191">
        <v>10000</v>
      </c>
      <c r="D155" s="211">
        <v>0</v>
      </c>
      <c r="E155" s="193">
        <v>0</v>
      </c>
      <c r="F155" s="196">
        <v>10000</v>
      </c>
      <c r="G155" s="191">
        <v>0</v>
      </c>
      <c r="H155" s="194">
        <v>0</v>
      </c>
      <c r="I155" s="195">
        <f t="shared" si="26"/>
        <v>10000</v>
      </c>
      <c r="J155" s="208">
        <f t="shared" si="27"/>
        <v>1032500</v>
      </c>
      <c r="K155" s="196">
        <f t="shared" si="28"/>
        <v>0</v>
      </c>
      <c r="L155" s="191">
        <v>130000</v>
      </c>
      <c r="M155" s="197"/>
      <c r="N155" s="198">
        <f t="shared" si="29"/>
        <v>902500</v>
      </c>
    </row>
    <row r="156" spans="1:14" s="199" customFormat="1" ht="45" customHeight="1">
      <c r="A156" s="250" t="s">
        <v>265</v>
      </c>
      <c r="B156" s="264" t="s">
        <v>266</v>
      </c>
      <c r="C156" s="191">
        <v>2100</v>
      </c>
      <c r="D156" s="211"/>
      <c r="E156" s="193">
        <v>0</v>
      </c>
      <c r="F156" s="196">
        <v>2100</v>
      </c>
      <c r="G156" s="191">
        <v>0</v>
      </c>
      <c r="H156" s="194">
        <v>0</v>
      </c>
      <c r="I156" s="195">
        <f t="shared" si="26"/>
        <v>2100</v>
      </c>
      <c r="J156" s="208">
        <f t="shared" si="27"/>
        <v>216825</v>
      </c>
      <c r="K156" s="196">
        <f t="shared" si="28"/>
        <v>0</v>
      </c>
      <c r="L156" s="191">
        <v>0</v>
      </c>
      <c r="M156" s="197"/>
      <c r="N156" s="198">
        <f t="shared" si="29"/>
        <v>216825</v>
      </c>
    </row>
    <row r="157" spans="1:14" s="199" customFormat="1" ht="45" customHeight="1">
      <c r="A157" s="250" t="s">
        <v>267</v>
      </c>
      <c r="B157" s="264" t="s">
        <v>268</v>
      </c>
      <c r="C157" s="191">
        <v>12100</v>
      </c>
      <c r="D157" s="211"/>
      <c r="E157" s="193">
        <v>0</v>
      </c>
      <c r="F157" s="196">
        <v>12100</v>
      </c>
      <c r="G157" s="191">
        <v>0</v>
      </c>
      <c r="H157" s="194">
        <v>0</v>
      </c>
      <c r="I157" s="195">
        <f t="shared" si="26"/>
        <v>12100</v>
      </c>
      <c r="J157" s="208">
        <f t="shared" si="27"/>
        <v>1249325</v>
      </c>
      <c r="K157" s="196">
        <f t="shared" si="28"/>
        <v>0</v>
      </c>
      <c r="L157" s="191">
        <v>0</v>
      </c>
      <c r="M157" s="197">
        <v>1211040</v>
      </c>
      <c r="N157" s="198">
        <f t="shared" si="29"/>
        <v>38285</v>
      </c>
    </row>
    <row r="158" spans="1:14" s="188" customFormat="1" ht="45" customHeight="1">
      <c r="A158" s="181"/>
      <c r="B158" s="213" t="s">
        <v>269</v>
      </c>
      <c r="C158" s="214">
        <f aca="true" t="shared" si="30" ref="C158:N158">SUM(C110:C157)</f>
        <v>301432.004842615</v>
      </c>
      <c r="D158" s="215">
        <f t="shared" si="30"/>
        <v>373000</v>
      </c>
      <c r="E158" s="216">
        <f t="shared" si="30"/>
        <v>0</v>
      </c>
      <c r="F158" s="214">
        <f t="shared" si="30"/>
        <v>301432</v>
      </c>
      <c r="G158" s="214">
        <f t="shared" si="30"/>
        <v>373000</v>
      </c>
      <c r="H158" s="214">
        <f t="shared" si="30"/>
        <v>0</v>
      </c>
      <c r="I158" s="215">
        <f t="shared" si="30"/>
        <v>674432.004842615</v>
      </c>
      <c r="J158" s="216">
        <f t="shared" si="30"/>
        <v>31122854</v>
      </c>
      <c r="K158" s="216">
        <f t="shared" si="30"/>
        <v>38512250</v>
      </c>
      <c r="L158" s="216">
        <f t="shared" si="30"/>
        <v>8385182</v>
      </c>
      <c r="M158" s="216">
        <f t="shared" si="30"/>
        <v>6945282</v>
      </c>
      <c r="N158" s="216">
        <f t="shared" si="30"/>
        <v>54304640</v>
      </c>
    </row>
    <row r="159" spans="1:14" s="188" customFormat="1" ht="45" customHeight="1">
      <c r="A159" s="218">
        <v>4.2</v>
      </c>
      <c r="B159" s="224" t="s">
        <v>270</v>
      </c>
      <c r="C159" s="225">
        <v>0</v>
      </c>
      <c r="D159" s="266">
        <v>7000</v>
      </c>
      <c r="E159" s="237">
        <v>0</v>
      </c>
      <c r="F159" s="238">
        <v>3000</v>
      </c>
      <c r="G159" s="238">
        <v>4000</v>
      </c>
      <c r="H159" s="238">
        <v>0</v>
      </c>
      <c r="I159" s="195">
        <f>C159+D159</f>
        <v>7000</v>
      </c>
      <c r="J159" s="208">
        <f>(+E159+F159)*103.25</f>
        <v>309750</v>
      </c>
      <c r="K159" s="196">
        <f>(G159+H159)*103.25</f>
        <v>413000</v>
      </c>
      <c r="L159" s="191">
        <v>0</v>
      </c>
      <c r="M159" s="197"/>
      <c r="N159" s="198">
        <f t="shared" si="29"/>
        <v>722750</v>
      </c>
    </row>
    <row r="160" spans="1:14" s="188" customFormat="1" ht="45" customHeight="1">
      <c r="A160" s="181"/>
      <c r="B160" s="213" t="s">
        <v>57</v>
      </c>
      <c r="C160" s="214">
        <f>SUM(C159)</f>
        <v>0</v>
      </c>
      <c r="D160" s="215">
        <f aca="true" t="shared" si="31" ref="D160:N160">SUM(D159)</f>
        <v>7000</v>
      </c>
      <c r="E160" s="216">
        <f t="shared" si="31"/>
        <v>0</v>
      </c>
      <c r="F160" s="214">
        <f t="shared" si="31"/>
        <v>3000</v>
      </c>
      <c r="G160" s="214">
        <f t="shared" si="31"/>
        <v>4000</v>
      </c>
      <c r="H160" s="214">
        <f t="shared" si="31"/>
        <v>0</v>
      </c>
      <c r="I160" s="215">
        <f t="shared" si="31"/>
        <v>7000</v>
      </c>
      <c r="J160" s="216">
        <f t="shared" si="31"/>
        <v>309750</v>
      </c>
      <c r="K160" s="216">
        <f t="shared" si="31"/>
        <v>413000</v>
      </c>
      <c r="L160" s="216">
        <f t="shared" si="31"/>
        <v>0</v>
      </c>
      <c r="M160" s="216">
        <f t="shared" si="31"/>
        <v>0</v>
      </c>
      <c r="N160" s="216">
        <f t="shared" si="31"/>
        <v>722750</v>
      </c>
    </row>
    <row r="161" spans="1:14" s="188" customFormat="1" ht="45" customHeight="1">
      <c r="A161" s="181">
        <v>4.3</v>
      </c>
      <c r="B161" s="213" t="s">
        <v>271</v>
      </c>
      <c r="C161" s="214"/>
      <c r="D161" s="268"/>
      <c r="E161" s="269"/>
      <c r="F161" s="270"/>
      <c r="G161" s="270"/>
      <c r="H161" s="270"/>
      <c r="I161" s="268"/>
      <c r="J161" s="257"/>
      <c r="K161" s="258"/>
      <c r="L161" s="259"/>
      <c r="M161" s="260"/>
      <c r="N161" s="261">
        <f>J161-L161</f>
        <v>0</v>
      </c>
    </row>
    <row r="162" spans="1:14" s="188" customFormat="1" ht="45" customHeight="1">
      <c r="A162" s="218" t="s">
        <v>272</v>
      </c>
      <c r="B162" s="224" t="s">
        <v>273</v>
      </c>
      <c r="C162" s="225">
        <v>0</v>
      </c>
      <c r="D162" s="266">
        <v>70000</v>
      </c>
      <c r="E162" s="237">
        <v>0</v>
      </c>
      <c r="F162" s="238">
        <v>70000</v>
      </c>
      <c r="G162" s="238">
        <v>0</v>
      </c>
      <c r="H162" s="238">
        <v>0</v>
      </c>
      <c r="I162" s="195">
        <f>C162+D162</f>
        <v>70000</v>
      </c>
      <c r="J162" s="208">
        <f>(+E162+F162)*103.25</f>
        <v>7227500</v>
      </c>
      <c r="K162" s="196">
        <f>(G162+H162)*103.25</f>
        <v>0</v>
      </c>
      <c r="L162" s="191">
        <v>0</v>
      </c>
      <c r="M162" s="197"/>
      <c r="N162" s="198">
        <f>J162+K162-L162-M162</f>
        <v>7227500</v>
      </c>
    </row>
    <row r="163" spans="1:14" s="188" customFormat="1" ht="45" customHeight="1">
      <c r="A163" s="181"/>
      <c r="B163" s="213" t="s">
        <v>57</v>
      </c>
      <c r="C163" s="214">
        <f>SUM(C162)</f>
        <v>0</v>
      </c>
      <c r="D163" s="215">
        <f aca="true" t="shared" si="32" ref="D163:N163">SUM(D162)</f>
        <v>70000</v>
      </c>
      <c r="E163" s="216">
        <f t="shared" si="32"/>
        <v>0</v>
      </c>
      <c r="F163" s="214">
        <f t="shared" si="32"/>
        <v>70000</v>
      </c>
      <c r="G163" s="214">
        <f t="shared" si="32"/>
        <v>0</v>
      </c>
      <c r="H163" s="214">
        <f t="shared" si="32"/>
        <v>0</v>
      </c>
      <c r="I163" s="215">
        <f t="shared" si="32"/>
        <v>70000</v>
      </c>
      <c r="J163" s="216">
        <f t="shared" si="32"/>
        <v>7227500</v>
      </c>
      <c r="K163" s="216">
        <f t="shared" si="32"/>
        <v>0</v>
      </c>
      <c r="L163" s="216">
        <f t="shared" si="32"/>
        <v>0</v>
      </c>
      <c r="M163" s="216">
        <f t="shared" si="32"/>
        <v>0</v>
      </c>
      <c r="N163" s="216">
        <f t="shared" si="32"/>
        <v>7227500</v>
      </c>
    </row>
    <row r="164" spans="1:14" s="188" customFormat="1" ht="45" customHeight="1">
      <c r="A164" s="218" t="s">
        <v>274</v>
      </c>
      <c r="B164" s="224" t="s">
        <v>275</v>
      </c>
      <c r="C164" s="225">
        <v>0</v>
      </c>
      <c r="D164" s="266">
        <v>10000</v>
      </c>
      <c r="E164" s="237">
        <v>0</v>
      </c>
      <c r="F164" s="238">
        <v>2000</v>
      </c>
      <c r="G164" s="238">
        <v>5000</v>
      </c>
      <c r="H164" s="238">
        <v>3000</v>
      </c>
      <c r="I164" s="195">
        <f>C164+D164</f>
        <v>10000</v>
      </c>
      <c r="J164" s="208">
        <f>(+E164+F164)*103.25</f>
        <v>206500</v>
      </c>
      <c r="K164" s="196">
        <f>(G164+H164)*103.25</f>
        <v>826000</v>
      </c>
      <c r="L164" s="191">
        <v>0</v>
      </c>
      <c r="M164" s="197"/>
      <c r="N164" s="198">
        <f>J164+K164-L164-M164</f>
        <v>1032500</v>
      </c>
    </row>
    <row r="165" spans="1:14" s="188" customFormat="1" ht="45" customHeight="1">
      <c r="A165" s="181"/>
      <c r="B165" s="213" t="s">
        <v>57</v>
      </c>
      <c r="C165" s="214">
        <f>SUM(C164)</f>
        <v>0</v>
      </c>
      <c r="D165" s="215">
        <f aca="true" t="shared" si="33" ref="D165:N165">SUM(D164)</f>
        <v>10000</v>
      </c>
      <c r="E165" s="216">
        <f t="shared" si="33"/>
        <v>0</v>
      </c>
      <c r="F165" s="214">
        <f t="shared" si="33"/>
        <v>2000</v>
      </c>
      <c r="G165" s="214">
        <f t="shared" si="33"/>
        <v>5000</v>
      </c>
      <c r="H165" s="214">
        <f t="shared" si="33"/>
        <v>3000</v>
      </c>
      <c r="I165" s="215">
        <f t="shared" si="33"/>
        <v>10000</v>
      </c>
      <c r="J165" s="216">
        <f t="shared" si="33"/>
        <v>206500</v>
      </c>
      <c r="K165" s="216">
        <f t="shared" si="33"/>
        <v>826000</v>
      </c>
      <c r="L165" s="216">
        <f t="shared" si="33"/>
        <v>0</v>
      </c>
      <c r="M165" s="216">
        <f t="shared" si="33"/>
        <v>0</v>
      </c>
      <c r="N165" s="216">
        <f t="shared" si="33"/>
        <v>1032500</v>
      </c>
    </row>
    <row r="166" spans="1:14" s="188" customFormat="1" ht="45" customHeight="1">
      <c r="A166" s="181">
        <v>4.4</v>
      </c>
      <c r="B166" s="182" t="s">
        <v>276</v>
      </c>
      <c r="C166" s="251"/>
      <c r="D166" s="252"/>
      <c r="E166" s="253"/>
      <c r="F166" s="251"/>
      <c r="G166" s="251"/>
      <c r="H166" s="251"/>
      <c r="I166" s="252"/>
      <c r="J166" s="253"/>
      <c r="K166" s="182"/>
      <c r="L166" s="251"/>
      <c r="M166" s="254"/>
      <c r="N166" s="252"/>
    </row>
    <row r="167" spans="1:14" s="199" customFormat="1" ht="45" customHeight="1">
      <c r="A167" s="271" t="s">
        <v>277</v>
      </c>
      <c r="B167" s="190" t="s">
        <v>278</v>
      </c>
      <c r="C167" s="230">
        <v>4000</v>
      </c>
      <c r="D167" s="234">
        <v>0</v>
      </c>
      <c r="E167" s="235">
        <v>0</v>
      </c>
      <c r="F167" s="230">
        <v>4000</v>
      </c>
      <c r="G167" s="191">
        <v>0</v>
      </c>
      <c r="H167" s="194">
        <v>0</v>
      </c>
      <c r="I167" s="195">
        <f>C167+D167</f>
        <v>4000</v>
      </c>
      <c r="J167" s="208">
        <f>(+E167+F167)*103.25</f>
        <v>413000</v>
      </c>
      <c r="K167" s="196">
        <f>(G167+H167)*103.25</f>
        <v>0</v>
      </c>
      <c r="L167" s="191">
        <v>406250</v>
      </c>
      <c r="M167" s="197"/>
      <c r="N167" s="198">
        <f aca="true" t="shared" si="34" ref="N167:N180">J167+K167-L167-M167</f>
        <v>6750</v>
      </c>
    </row>
    <row r="168" spans="1:14" s="188" customFormat="1" ht="45" customHeight="1">
      <c r="A168" s="218" t="s">
        <v>279</v>
      </c>
      <c r="B168" s="224" t="s">
        <v>280</v>
      </c>
      <c r="C168" s="225">
        <v>0</v>
      </c>
      <c r="D168" s="266">
        <v>40000</v>
      </c>
      <c r="E168" s="237">
        <v>10000</v>
      </c>
      <c r="F168" s="238">
        <v>10000</v>
      </c>
      <c r="G168" s="238">
        <v>10000</v>
      </c>
      <c r="H168" s="238">
        <v>10000</v>
      </c>
      <c r="I168" s="195">
        <f>C168+D168</f>
        <v>40000</v>
      </c>
      <c r="J168" s="208">
        <f>(+E168+F168)*103.25</f>
        <v>2065000</v>
      </c>
      <c r="K168" s="196">
        <f>(G168+H168)*103.25</f>
        <v>2065000</v>
      </c>
      <c r="L168" s="191">
        <v>0</v>
      </c>
      <c r="M168" s="197"/>
      <c r="N168" s="198">
        <f t="shared" si="34"/>
        <v>4130000</v>
      </c>
    </row>
    <row r="169" spans="1:14" s="199" customFormat="1" ht="45" customHeight="1">
      <c r="A169" s="250" t="s">
        <v>281</v>
      </c>
      <c r="B169" s="264" t="s">
        <v>282</v>
      </c>
      <c r="C169" s="191">
        <v>3000</v>
      </c>
      <c r="D169" s="211">
        <v>0</v>
      </c>
      <c r="E169" s="193">
        <v>0</v>
      </c>
      <c r="F169" s="230">
        <v>3000</v>
      </c>
      <c r="G169" s="191">
        <v>0</v>
      </c>
      <c r="H169" s="194">
        <v>0</v>
      </c>
      <c r="I169" s="195">
        <f>C169+D169</f>
        <v>3000</v>
      </c>
      <c r="J169" s="208">
        <f>(+E169+F169)*103.25</f>
        <v>309750</v>
      </c>
      <c r="K169" s="196">
        <f>(G169+H169)*103.25</f>
        <v>0</v>
      </c>
      <c r="L169" s="191">
        <v>0</v>
      </c>
      <c r="M169" s="197"/>
      <c r="N169" s="198">
        <f t="shared" si="34"/>
        <v>309750</v>
      </c>
    </row>
    <row r="170" spans="1:14" s="188" customFormat="1" ht="45" customHeight="1">
      <c r="A170" s="218" t="s">
        <v>283</v>
      </c>
      <c r="B170" s="224" t="s">
        <v>284</v>
      </c>
      <c r="C170" s="225">
        <v>0</v>
      </c>
      <c r="D170" s="266">
        <v>20000</v>
      </c>
      <c r="E170" s="237">
        <v>0</v>
      </c>
      <c r="F170" s="238">
        <v>10000</v>
      </c>
      <c r="G170" s="238">
        <v>10000</v>
      </c>
      <c r="H170" s="238">
        <v>0</v>
      </c>
      <c r="I170" s="195">
        <f>C170+D170</f>
        <v>20000</v>
      </c>
      <c r="J170" s="208">
        <f>(+E170+F170)*103.25</f>
        <v>1032500</v>
      </c>
      <c r="K170" s="196">
        <f>(G170+H170)*103.25</f>
        <v>1032500</v>
      </c>
      <c r="L170" s="191">
        <v>0</v>
      </c>
      <c r="M170" s="197"/>
      <c r="N170" s="198">
        <f t="shared" si="34"/>
        <v>2065000</v>
      </c>
    </row>
    <row r="171" spans="1:14" s="199" customFormat="1" ht="45" customHeight="1">
      <c r="A171" s="250" t="s">
        <v>285</v>
      </c>
      <c r="B171" s="264" t="s">
        <v>286</v>
      </c>
      <c r="C171" s="191">
        <v>4000</v>
      </c>
      <c r="D171" s="211">
        <v>0</v>
      </c>
      <c r="E171" s="193">
        <v>0</v>
      </c>
      <c r="F171" s="230">
        <v>4000</v>
      </c>
      <c r="G171" s="191">
        <v>0</v>
      </c>
      <c r="H171" s="194">
        <v>0</v>
      </c>
      <c r="I171" s="195">
        <f>C171+D171</f>
        <v>4000</v>
      </c>
      <c r="J171" s="208">
        <f>(+E171+F171)*103.25</f>
        <v>413000</v>
      </c>
      <c r="K171" s="196">
        <f>(G171+H171)*103.25</f>
        <v>0</v>
      </c>
      <c r="L171" s="191">
        <v>0</v>
      </c>
      <c r="M171" s="197"/>
      <c r="N171" s="198">
        <f t="shared" si="34"/>
        <v>413000</v>
      </c>
    </row>
    <row r="172" spans="1:14" s="188" customFormat="1" ht="45" customHeight="1">
      <c r="A172" s="218"/>
      <c r="B172" s="213" t="s">
        <v>57</v>
      </c>
      <c r="C172" s="214">
        <f aca="true" t="shared" si="35" ref="C172:N172">SUM(C167:C171)</f>
        <v>11000</v>
      </c>
      <c r="D172" s="215">
        <f t="shared" si="35"/>
        <v>60000</v>
      </c>
      <c r="E172" s="216">
        <f t="shared" si="35"/>
        <v>10000</v>
      </c>
      <c r="F172" s="214">
        <f t="shared" si="35"/>
        <v>31000</v>
      </c>
      <c r="G172" s="214">
        <f t="shared" si="35"/>
        <v>20000</v>
      </c>
      <c r="H172" s="214">
        <f t="shared" si="35"/>
        <v>10000</v>
      </c>
      <c r="I172" s="215">
        <f t="shared" si="35"/>
        <v>71000</v>
      </c>
      <c r="J172" s="216">
        <f t="shared" si="35"/>
        <v>4233250</v>
      </c>
      <c r="K172" s="216">
        <f t="shared" si="35"/>
        <v>3097500</v>
      </c>
      <c r="L172" s="216">
        <f t="shared" si="35"/>
        <v>406250</v>
      </c>
      <c r="M172" s="216">
        <f t="shared" si="35"/>
        <v>0</v>
      </c>
      <c r="N172" s="216">
        <f t="shared" si="35"/>
        <v>6924500</v>
      </c>
    </row>
    <row r="173" spans="1:14" s="188" customFormat="1" ht="45" customHeight="1">
      <c r="A173" s="239">
        <v>4.6</v>
      </c>
      <c r="B173" s="224" t="s">
        <v>287</v>
      </c>
      <c r="C173" s="225">
        <v>0</v>
      </c>
      <c r="D173" s="203">
        <v>20000</v>
      </c>
      <c r="E173" s="242">
        <v>0</v>
      </c>
      <c r="F173" s="225">
        <v>20000</v>
      </c>
      <c r="G173" s="225">
        <v>0</v>
      </c>
      <c r="H173" s="225">
        <v>0</v>
      </c>
      <c r="I173" s="195">
        <f>C173+D173</f>
        <v>20000</v>
      </c>
      <c r="J173" s="208">
        <f>(+E173+F173)*103.25</f>
        <v>2065000</v>
      </c>
      <c r="K173" s="196">
        <f>(G173+H173)*103.25</f>
        <v>0</v>
      </c>
      <c r="L173" s="191">
        <v>0</v>
      </c>
      <c r="M173" s="311"/>
      <c r="N173" s="198">
        <f t="shared" si="34"/>
        <v>2065000</v>
      </c>
    </row>
    <row r="174" spans="1:14" s="188" customFormat="1" ht="45" customHeight="1">
      <c r="A174" s="248"/>
      <c r="B174" s="213" t="s">
        <v>57</v>
      </c>
      <c r="C174" s="214">
        <f>SUM(C173)</f>
        <v>0</v>
      </c>
      <c r="D174" s="215">
        <f aca="true" t="shared" si="36" ref="D174:N174">SUM(D173)</f>
        <v>20000</v>
      </c>
      <c r="E174" s="216">
        <f t="shared" si="36"/>
        <v>0</v>
      </c>
      <c r="F174" s="214">
        <f t="shared" si="36"/>
        <v>20000</v>
      </c>
      <c r="G174" s="214">
        <f t="shared" si="36"/>
        <v>0</v>
      </c>
      <c r="H174" s="214">
        <f t="shared" si="36"/>
        <v>0</v>
      </c>
      <c r="I174" s="215">
        <f t="shared" si="36"/>
        <v>20000</v>
      </c>
      <c r="J174" s="216">
        <f t="shared" si="36"/>
        <v>2065000</v>
      </c>
      <c r="K174" s="216">
        <f t="shared" si="36"/>
        <v>0</v>
      </c>
      <c r="L174" s="216">
        <f t="shared" si="36"/>
        <v>0</v>
      </c>
      <c r="M174" s="216">
        <f t="shared" si="36"/>
        <v>0</v>
      </c>
      <c r="N174" s="216">
        <f t="shared" si="36"/>
        <v>2065000</v>
      </c>
    </row>
    <row r="175" spans="1:14" s="188" customFormat="1" ht="45" customHeight="1">
      <c r="A175" s="248">
        <v>4.7</v>
      </c>
      <c r="B175" s="213" t="s">
        <v>288</v>
      </c>
      <c r="C175" s="214"/>
      <c r="D175" s="215"/>
      <c r="E175" s="216"/>
      <c r="F175" s="214"/>
      <c r="G175" s="214"/>
      <c r="H175" s="214"/>
      <c r="I175" s="215"/>
      <c r="J175" s="257"/>
      <c r="K175" s="258"/>
      <c r="L175" s="259"/>
      <c r="M175" s="260"/>
      <c r="N175" s="261"/>
    </row>
    <row r="176" spans="1:14" s="188" customFormat="1" ht="45" customHeight="1">
      <c r="A176" s="239" t="s">
        <v>289</v>
      </c>
      <c r="B176" s="265" t="s">
        <v>290</v>
      </c>
      <c r="C176" s="272">
        <v>0</v>
      </c>
      <c r="D176" s="203">
        <v>5000</v>
      </c>
      <c r="E176" s="242">
        <v>0</v>
      </c>
      <c r="F176" s="225">
        <v>2000</v>
      </c>
      <c r="G176" s="225">
        <v>3000</v>
      </c>
      <c r="H176" s="225">
        <v>0</v>
      </c>
      <c r="I176" s="256">
        <f>C176+D176</f>
        <v>5000</v>
      </c>
      <c r="J176" s="208">
        <f>(+E176+F176)*103.25</f>
        <v>206500</v>
      </c>
      <c r="K176" s="196">
        <f>(G176+H176)*103.25</f>
        <v>309750</v>
      </c>
      <c r="L176" s="191">
        <v>0</v>
      </c>
      <c r="M176" s="197">
        <v>147190</v>
      </c>
      <c r="N176" s="198">
        <f t="shared" si="34"/>
        <v>369060</v>
      </c>
    </row>
    <row r="177" spans="1:14" s="188" customFormat="1" ht="45" customHeight="1">
      <c r="A177" s="248"/>
      <c r="B177" s="213" t="s">
        <v>57</v>
      </c>
      <c r="C177" s="214">
        <f>SUM(C176)</f>
        <v>0</v>
      </c>
      <c r="D177" s="215">
        <f aca="true" t="shared" si="37" ref="D177:N177">SUM(D176)</f>
        <v>5000</v>
      </c>
      <c r="E177" s="216">
        <f t="shared" si="37"/>
        <v>0</v>
      </c>
      <c r="F177" s="214">
        <f t="shared" si="37"/>
        <v>2000</v>
      </c>
      <c r="G177" s="214">
        <f t="shared" si="37"/>
        <v>3000</v>
      </c>
      <c r="H177" s="214">
        <f t="shared" si="37"/>
        <v>0</v>
      </c>
      <c r="I177" s="215">
        <f t="shared" si="37"/>
        <v>5000</v>
      </c>
      <c r="J177" s="216">
        <f t="shared" si="37"/>
        <v>206500</v>
      </c>
      <c r="K177" s="216">
        <f t="shared" si="37"/>
        <v>309750</v>
      </c>
      <c r="L177" s="216">
        <f t="shared" si="37"/>
        <v>0</v>
      </c>
      <c r="M177" s="216">
        <f t="shared" si="37"/>
        <v>147190</v>
      </c>
      <c r="N177" s="216">
        <f t="shared" si="37"/>
        <v>369060</v>
      </c>
    </row>
    <row r="178" spans="1:14" s="188" customFormat="1" ht="45" customHeight="1">
      <c r="A178" s="248">
        <v>4.7</v>
      </c>
      <c r="B178" s="182" t="s">
        <v>291</v>
      </c>
      <c r="C178" s="251"/>
      <c r="D178" s="252"/>
      <c r="E178" s="253"/>
      <c r="F178" s="251"/>
      <c r="G178" s="251"/>
      <c r="H178" s="251"/>
      <c r="I178" s="252"/>
      <c r="J178" s="253"/>
      <c r="K178" s="182"/>
      <c r="L178" s="251"/>
      <c r="M178" s="254"/>
      <c r="N178" s="252"/>
    </row>
    <row r="179" spans="1:14" s="188" customFormat="1" ht="45" customHeight="1">
      <c r="A179" s="239" t="s">
        <v>289</v>
      </c>
      <c r="B179" s="265" t="s">
        <v>292</v>
      </c>
      <c r="C179" s="272">
        <v>0</v>
      </c>
      <c r="D179" s="203">
        <v>1000</v>
      </c>
      <c r="E179" s="242">
        <v>0</v>
      </c>
      <c r="F179" s="225">
        <v>1000</v>
      </c>
      <c r="G179" s="225">
        <v>0</v>
      </c>
      <c r="H179" s="225">
        <v>0</v>
      </c>
      <c r="I179" s="195">
        <f>C179+D179</f>
        <v>1000</v>
      </c>
      <c r="J179" s="208">
        <f>(+E179+F179)*103.25</f>
        <v>103250</v>
      </c>
      <c r="K179" s="196">
        <f>(G179+H179)*103.25</f>
        <v>0</v>
      </c>
      <c r="L179" s="191">
        <v>0</v>
      </c>
      <c r="M179" s="197"/>
      <c r="N179" s="198">
        <f t="shared" si="34"/>
        <v>103250</v>
      </c>
    </row>
    <row r="180" spans="1:14" s="188" customFormat="1" ht="45" customHeight="1">
      <c r="A180" s="239" t="s">
        <v>293</v>
      </c>
      <c r="B180" s="265" t="s">
        <v>294</v>
      </c>
      <c r="C180" s="272">
        <v>0</v>
      </c>
      <c r="D180" s="203">
        <v>1000</v>
      </c>
      <c r="E180" s="242">
        <v>0</v>
      </c>
      <c r="F180" s="225">
        <v>0</v>
      </c>
      <c r="G180" s="225">
        <v>1000</v>
      </c>
      <c r="H180" s="225">
        <v>0</v>
      </c>
      <c r="I180" s="195">
        <f>C180+D180</f>
        <v>1000</v>
      </c>
      <c r="J180" s="208">
        <f>(+E180+F180)*103.25</f>
        <v>0</v>
      </c>
      <c r="K180" s="196">
        <f>(G180+H180)*103.25</f>
        <v>103250</v>
      </c>
      <c r="L180" s="191">
        <v>0</v>
      </c>
      <c r="M180" s="197">
        <v>95600</v>
      </c>
      <c r="N180" s="198">
        <f t="shared" si="34"/>
        <v>7650</v>
      </c>
    </row>
    <row r="181" spans="1:14" s="188" customFormat="1" ht="45" customHeight="1">
      <c r="A181" s="248"/>
      <c r="B181" s="213" t="s">
        <v>57</v>
      </c>
      <c r="C181" s="214">
        <f>SUM(C179:C180)</f>
        <v>0</v>
      </c>
      <c r="D181" s="215">
        <f aca="true" t="shared" si="38" ref="D181:N181">SUM(D179:D180)</f>
        <v>2000</v>
      </c>
      <c r="E181" s="216">
        <f t="shared" si="38"/>
        <v>0</v>
      </c>
      <c r="F181" s="214">
        <f t="shared" si="38"/>
        <v>1000</v>
      </c>
      <c r="G181" s="214">
        <f t="shared" si="38"/>
        <v>1000</v>
      </c>
      <c r="H181" s="214">
        <f t="shared" si="38"/>
        <v>0</v>
      </c>
      <c r="I181" s="215">
        <f t="shared" si="38"/>
        <v>2000</v>
      </c>
      <c r="J181" s="216">
        <f t="shared" si="38"/>
        <v>103250</v>
      </c>
      <c r="K181" s="216">
        <f t="shared" si="38"/>
        <v>103250</v>
      </c>
      <c r="L181" s="216">
        <v>0</v>
      </c>
      <c r="M181" s="216">
        <f t="shared" si="38"/>
        <v>95600</v>
      </c>
      <c r="N181" s="216">
        <f t="shared" si="38"/>
        <v>110900</v>
      </c>
    </row>
    <row r="182" spans="1:14" s="188" customFormat="1" ht="45" customHeight="1">
      <c r="A182" s="181">
        <v>4.8</v>
      </c>
      <c r="B182" s="182" t="s">
        <v>295</v>
      </c>
      <c r="C182" s="183"/>
      <c r="D182" s="184"/>
      <c r="E182" s="185"/>
      <c r="F182" s="183"/>
      <c r="G182" s="183"/>
      <c r="H182" s="183"/>
      <c r="I182" s="184"/>
      <c r="J182" s="185"/>
      <c r="K182" s="186"/>
      <c r="L182" s="183"/>
      <c r="M182" s="187"/>
      <c r="N182" s="184"/>
    </row>
    <row r="183" spans="1:14" s="199" customFormat="1" ht="45" customHeight="1">
      <c r="A183" s="218" t="s">
        <v>296</v>
      </c>
      <c r="B183" s="219" t="s">
        <v>297</v>
      </c>
      <c r="C183" s="236">
        <f>9738+4500</f>
        <v>14238</v>
      </c>
      <c r="D183" s="234">
        <v>0</v>
      </c>
      <c r="E183" s="235">
        <v>0</v>
      </c>
      <c r="F183" s="236">
        <v>14238</v>
      </c>
      <c r="G183" s="191">
        <v>0</v>
      </c>
      <c r="H183" s="194">
        <v>0</v>
      </c>
      <c r="I183" s="195">
        <f>C183+D183</f>
        <v>14238</v>
      </c>
      <c r="J183" s="208">
        <f>(+E183+F183)*103.25</f>
        <v>1470073.5</v>
      </c>
      <c r="K183" s="196">
        <f>(G183+H183)*103.25</f>
        <v>0</v>
      </c>
      <c r="L183" s="191">
        <v>1454900</v>
      </c>
      <c r="M183" s="197"/>
      <c r="N183" s="198">
        <f>J183+K183-L183-M183</f>
        <v>15173.5</v>
      </c>
    </row>
    <row r="184" spans="1:14" s="188" customFormat="1" ht="45" customHeight="1">
      <c r="A184" s="218" t="s">
        <v>298</v>
      </c>
      <c r="B184" s="224" t="s">
        <v>297</v>
      </c>
      <c r="C184" s="272">
        <v>0</v>
      </c>
      <c r="D184" s="266">
        <v>58000</v>
      </c>
      <c r="E184" s="237">
        <v>15000</v>
      </c>
      <c r="F184" s="238">
        <v>15000</v>
      </c>
      <c r="G184" s="238">
        <v>15000</v>
      </c>
      <c r="H184" s="238">
        <v>13000</v>
      </c>
      <c r="I184" s="195">
        <f>C184+D184</f>
        <v>58000</v>
      </c>
      <c r="J184" s="208">
        <f>(+E184+F184)*103.25</f>
        <v>3097500</v>
      </c>
      <c r="K184" s="196">
        <f>(G184+H184)*103.25</f>
        <v>2891000</v>
      </c>
      <c r="L184" s="191">
        <v>0</v>
      </c>
      <c r="M184" s="197">
        <v>3972209</v>
      </c>
      <c r="N184" s="198">
        <f>J184+K184-L184-M184</f>
        <v>2016291</v>
      </c>
    </row>
    <row r="185" spans="1:14" s="199" customFormat="1" ht="45" customHeight="1">
      <c r="A185" s="218" t="s">
        <v>299</v>
      </c>
      <c r="B185" s="219" t="s">
        <v>300</v>
      </c>
      <c r="C185" s="230">
        <f>5000-4500</f>
        <v>500</v>
      </c>
      <c r="D185" s="240">
        <v>0</v>
      </c>
      <c r="E185" s="241">
        <v>0</v>
      </c>
      <c r="F185" s="236">
        <v>500</v>
      </c>
      <c r="G185" s="191">
        <v>0</v>
      </c>
      <c r="H185" s="194">
        <v>0</v>
      </c>
      <c r="I185" s="195">
        <f>C185+D185</f>
        <v>500</v>
      </c>
      <c r="J185" s="208">
        <f>(+E185+F185)*103.25</f>
        <v>51625</v>
      </c>
      <c r="K185" s="196">
        <f>(G185+H185)*103.25</f>
        <v>0</v>
      </c>
      <c r="L185" s="191">
        <v>28100</v>
      </c>
      <c r="M185" s="197"/>
      <c r="N185" s="198">
        <f>J185+K185-L185-M185</f>
        <v>23525</v>
      </c>
    </row>
    <row r="186" spans="1:14" s="188" customFormat="1" ht="45" customHeight="1">
      <c r="A186" s="218" t="s">
        <v>301</v>
      </c>
      <c r="B186" s="224" t="s">
        <v>300</v>
      </c>
      <c r="C186" s="272">
        <v>0</v>
      </c>
      <c r="D186" s="203">
        <v>10000</v>
      </c>
      <c r="E186" s="204">
        <v>3000</v>
      </c>
      <c r="F186" s="205">
        <v>2000</v>
      </c>
      <c r="G186" s="205">
        <v>1000</v>
      </c>
      <c r="H186" s="205">
        <v>4000</v>
      </c>
      <c r="I186" s="195">
        <f>C186+D186</f>
        <v>10000</v>
      </c>
      <c r="J186" s="208">
        <f>(+E186+F186)*103.25</f>
        <v>516250</v>
      </c>
      <c r="K186" s="196">
        <f>(G186+H186)*103.25</f>
        <v>516250</v>
      </c>
      <c r="L186" s="191">
        <v>0</v>
      </c>
      <c r="M186" s="197">
        <v>578000</v>
      </c>
      <c r="N186" s="198">
        <f>J186+K186-L186-M186</f>
        <v>454500</v>
      </c>
    </row>
    <row r="187" spans="1:14" s="188" customFormat="1" ht="45" customHeight="1">
      <c r="A187" s="181"/>
      <c r="B187" s="213" t="s">
        <v>57</v>
      </c>
      <c r="C187" s="214">
        <f>SUM(C183:C186)</f>
        <v>14738</v>
      </c>
      <c r="D187" s="215">
        <f aca="true" t="shared" si="39" ref="D187:N187">SUM(D183:D186)</f>
        <v>68000</v>
      </c>
      <c r="E187" s="216">
        <f t="shared" si="39"/>
        <v>18000</v>
      </c>
      <c r="F187" s="214">
        <f t="shared" si="39"/>
        <v>31738</v>
      </c>
      <c r="G187" s="214">
        <f t="shared" si="39"/>
        <v>16000</v>
      </c>
      <c r="H187" s="214">
        <f t="shared" si="39"/>
        <v>17000</v>
      </c>
      <c r="I187" s="215">
        <f t="shared" si="39"/>
        <v>82738</v>
      </c>
      <c r="J187" s="216">
        <f t="shared" si="39"/>
        <v>5135448.5</v>
      </c>
      <c r="K187" s="216">
        <f t="shared" si="39"/>
        <v>3407250</v>
      </c>
      <c r="L187" s="216">
        <f t="shared" si="39"/>
        <v>1483000</v>
      </c>
      <c r="M187" s="216">
        <f t="shared" si="39"/>
        <v>4550209</v>
      </c>
      <c r="N187" s="216">
        <f t="shared" si="39"/>
        <v>2509489.5</v>
      </c>
    </row>
    <row r="188" spans="1:14" s="188" customFormat="1" ht="45" customHeight="1">
      <c r="A188" s="181">
        <v>4.9</v>
      </c>
      <c r="B188" s="182" t="s">
        <v>302</v>
      </c>
      <c r="C188" s="183"/>
      <c r="D188" s="184"/>
      <c r="E188" s="185"/>
      <c r="F188" s="183"/>
      <c r="G188" s="183"/>
      <c r="H188" s="183"/>
      <c r="I188" s="184"/>
      <c r="J188" s="185"/>
      <c r="K188" s="186"/>
      <c r="L188" s="183"/>
      <c r="M188" s="187"/>
      <c r="N188" s="184"/>
    </row>
    <row r="189" spans="1:14" s="199" customFormat="1" ht="45" customHeight="1">
      <c r="A189" s="239" t="s">
        <v>303</v>
      </c>
      <c r="B189" s="219" t="s">
        <v>304</v>
      </c>
      <c r="C189" s="230">
        <v>4000</v>
      </c>
      <c r="D189" s="240">
        <v>0</v>
      </c>
      <c r="E189" s="241">
        <v>3000</v>
      </c>
      <c r="F189" s="230">
        <v>1000</v>
      </c>
      <c r="G189" s="191">
        <v>0</v>
      </c>
      <c r="H189" s="194">
        <v>0</v>
      </c>
      <c r="I189" s="195">
        <f>C189+D189</f>
        <v>4000</v>
      </c>
      <c r="J189" s="208">
        <f>(+E189+F189)*103.25</f>
        <v>413000</v>
      </c>
      <c r="K189" s="196">
        <f>(G189+H189)*103.25</f>
        <v>0</v>
      </c>
      <c r="L189" s="191">
        <v>410900</v>
      </c>
      <c r="M189" s="197"/>
      <c r="N189" s="198">
        <f>J189+K189-L189-M189</f>
        <v>2100</v>
      </c>
    </row>
    <row r="190" spans="1:14" s="188" customFormat="1" ht="45" customHeight="1">
      <c r="A190" s="239" t="s">
        <v>305</v>
      </c>
      <c r="B190" s="224" t="s">
        <v>304</v>
      </c>
      <c r="C190" s="272">
        <v>0</v>
      </c>
      <c r="D190" s="203">
        <v>8000</v>
      </c>
      <c r="E190" s="204">
        <v>3500</v>
      </c>
      <c r="F190" s="205">
        <v>1000</v>
      </c>
      <c r="G190" s="205">
        <v>2000</v>
      </c>
      <c r="H190" s="205">
        <v>1500</v>
      </c>
      <c r="I190" s="195">
        <f>C190+D190</f>
        <v>8000</v>
      </c>
      <c r="J190" s="208">
        <f>(+E190+F190)*103.25</f>
        <v>464625</v>
      </c>
      <c r="K190" s="196">
        <f>(G190+H190)*103.25</f>
        <v>361375</v>
      </c>
      <c r="L190" s="191">
        <v>0</v>
      </c>
      <c r="M190" s="197">
        <v>1359900</v>
      </c>
      <c r="N190" s="198">
        <f>J190+K190-L190-M190</f>
        <v>-533900</v>
      </c>
    </row>
    <row r="191" spans="1:14" s="188" customFormat="1" ht="45" customHeight="1">
      <c r="A191" s="248"/>
      <c r="B191" s="213" t="s">
        <v>57</v>
      </c>
      <c r="C191" s="214">
        <f>SUM(C189:C190)</f>
        <v>4000</v>
      </c>
      <c r="D191" s="215">
        <f aca="true" t="shared" si="40" ref="D191:N191">SUM(D189:D190)</f>
        <v>8000</v>
      </c>
      <c r="E191" s="216">
        <f t="shared" si="40"/>
        <v>6500</v>
      </c>
      <c r="F191" s="214">
        <f t="shared" si="40"/>
        <v>2000</v>
      </c>
      <c r="G191" s="214">
        <f t="shared" si="40"/>
        <v>2000</v>
      </c>
      <c r="H191" s="214">
        <f t="shared" si="40"/>
        <v>1500</v>
      </c>
      <c r="I191" s="215">
        <f t="shared" si="40"/>
        <v>12000</v>
      </c>
      <c r="J191" s="216">
        <f t="shared" si="40"/>
        <v>877625</v>
      </c>
      <c r="K191" s="216">
        <f t="shared" si="40"/>
        <v>361375</v>
      </c>
      <c r="L191" s="216">
        <f t="shared" si="40"/>
        <v>410900</v>
      </c>
      <c r="M191" s="216">
        <f t="shared" si="40"/>
        <v>1359900</v>
      </c>
      <c r="N191" s="216">
        <f t="shared" si="40"/>
        <v>-531800</v>
      </c>
    </row>
    <row r="192" spans="1:14" s="188" customFormat="1" ht="45" customHeight="1">
      <c r="A192" s="233">
        <v>4.1</v>
      </c>
      <c r="B192" s="213" t="s">
        <v>288</v>
      </c>
      <c r="C192" s="214"/>
      <c r="D192" s="215"/>
      <c r="E192" s="216"/>
      <c r="F192" s="214"/>
      <c r="G192" s="214"/>
      <c r="H192" s="214"/>
      <c r="I192" s="215"/>
      <c r="J192" s="257"/>
      <c r="K192" s="258"/>
      <c r="L192" s="259"/>
      <c r="M192" s="260"/>
      <c r="N192" s="261"/>
    </row>
    <row r="193" spans="1:14" s="188" customFormat="1" ht="45" customHeight="1">
      <c r="A193" s="239" t="s">
        <v>306</v>
      </c>
      <c r="B193" s="224" t="s">
        <v>290</v>
      </c>
      <c r="C193" s="272">
        <v>0</v>
      </c>
      <c r="D193" s="203">
        <v>5000</v>
      </c>
      <c r="E193" s="242">
        <v>0</v>
      </c>
      <c r="F193" s="225">
        <v>2000</v>
      </c>
      <c r="G193" s="225">
        <v>3000</v>
      </c>
      <c r="H193" s="225">
        <v>0</v>
      </c>
      <c r="I193" s="195">
        <f>C193+D193</f>
        <v>5000</v>
      </c>
      <c r="J193" s="208">
        <f>(+E193+F193)*103.25</f>
        <v>206500</v>
      </c>
      <c r="K193" s="196">
        <f>(G193+H193)*103.25</f>
        <v>309750</v>
      </c>
      <c r="L193" s="191">
        <v>0</v>
      </c>
      <c r="M193" s="197">
        <v>409200</v>
      </c>
      <c r="N193" s="198">
        <f>J193+K193-L193-M193</f>
        <v>107050</v>
      </c>
    </row>
    <row r="194" spans="1:14" s="188" customFormat="1" ht="45" customHeight="1">
      <c r="A194" s="248"/>
      <c r="B194" s="213" t="s">
        <v>57</v>
      </c>
      <c r="C194" s="214">
        <f>SUM(C193)</f>
        <v>0</v>
      </c>
      <c r="D194" s="215">
        <f aca="true" t="shared" si="41" ref="D194:N194">SUM(D193)</f>
        <v>5000</v>
      </c>
      <c r="E194" s="216">
        <f t="shared" si="41"/>
        <v>0</v>
      </c>
      <c r="F194" s="214">
        <f t="shared" si="41"/>
        <v>2000</v>
      </c>
      <c r="G194" s="214">
        <f t="shared" si="41"/>
        <v>3000</v>
      </c>
      <c r="H194" s="214">
        <f t="shared" si="41"/>
        <v>0</v>
      </c>
      <c r="I194" s="215">
        <f t="shared" si="41"/>
        <v>5000</v>
      </c>
      <c r="J194" s="216">
        <f t="shared" si="41"/>
        <v>206500</v>
      </c>
      <c r="K194" s="216">
        <f t="shared" si="41"/>
        <v>309750</v>
      </c>
      <c r="L194" s="216">
        <f t="shared" si="41"/>
        <v>0</v>
      </c>
      <c r="M194" s="216">
        <f t="shared" si="41"/>
        <v>409200</v>
      </c>
      <c r="N194" s="216">
        <f t="shared" si="41"/>
        <v>107050</v>
      </c>
    </row>
    <row r="195" spans="1:14" s="188" customFormat="1" ht="45" customHeight="1">
      <c r="A195" s="233">
        <v>4.11</v>
      </c>
      <c r="B195" s="182" t="s">
        <v>307</v>
      </c>
      <c r="C195" s="183"/>
      <c r="D195" s="184"/>
      <c r="E195" s="185"/>
      <c r="F195" s="183"/>
      <c r="G195" s="183"/>
      <c r="H195" s="183"/>
      <c r="I195" s="184"/>
      <c r="J195" s="185"/>
      <c r="K195" s="186"/>
      <c r="L195" s="183"/>
      <c r="M195" s="187"/>
      <c r="N195" s="184"/>
    </row>
    <row r="196" spans="1:14" s="199" customFormat="1" ht="45" customHeight="1">
      <c r="A196" s="212" t="s">
        <v>308</v>
      </c>
      <c r="B196" s="219" t="s">
        <v>309</v>
      </c>
      <c r="C196" s="230">
        <v>3500</v>
      </c>
      <c r="D196" s="240">
        <v>0</v>
      </c>
      <c r="E196" s="241">
        <v>3000</v>
      </c>
      <c r="F196" s="230">
        <v>500</v>
      </c>
      <c r="G196" s="191">
        <v>0</v>
      </c>
      <c r="H196" s="194">
        <v>0</v>
      </c>
      <c r="I196" s="195">
        <f>C196+D196</f>
        <v>3500</v>
      </c>
      <c r="J196" s="208">
        <f>(+E196+F196)*103.25</f>
        <v>361375</v>
      </c>
      <c r="K196" s="196">
        <f>(G196+H196)*103.25</f>
        <v>0</v>
      </c>
      <c r="L196" s="191">
        <v>139500</v>
      </c>
      <c r="M196" s="197"/>
      <c r="N196" s="198">
        <f>J196+K196-L196-M196</f>
        <v>221875</v>
      </c>
    </row>
    <row r="197" spans="1:14" s="188" customFormat="1" ht="45" customHeight="1">
      <c r="A197" s="239" t="s">
        <v>310</v>
      </c>
      <c r="B197" s="265" t="s">
        <v>309</v>
      </c>
      <c r="C197" s="272">
        <v>0</v>
      </c>
      <c r="D197" s="203">
        <v>60000</v>
      </c>
      <c r="E197" s="204">
        <v>10000</v>
      </c>
      <c r="F197" s="205">
        <v>20000</v>
      </c>
      <c r="G197" s="205">
        <v>20000</v>
      </c>
      <c r="H197" s="205">
        <v>10000</v>
      </c>
      <c r="I197" s="195">
        <f>C197+D197</f>
        <v>60000</v>
      </c>
      <c r="J197" s="208">
        <f>(+E197+F197)*103.25</f>
        <v>3097500</v>
      </c>
      <c r="K197" s="196">
        <f>(G197+H197)*103.25</f>
        <v>3097500</v>
      </c>
      <c r="L197" s="191">
        <v>0</v>
      </c>
      <c r="M197" s="197">
        <v>403021</v>
      </c>
      <c r="N197" s="198">
        <f>J197+K197-L197-M197</f>
        <v>5791979</v>
      </c>
    </row>
    <row r="198" spans="1:14" s="199" customFormat="1" ht="45" customHeight="1">
      <c r="A198" s="212" t="s">
        <v>311</v>
      </c>
      <c r="B198" s="219" t="s">
        <v>312</v>
      </c>
      <c r="C198" s="230">
        <v>3500</v>
      </c>
      <c r="D198" s="240">
        <v>0</v>
      </c>
      <c r="E198" s="241">
        <v>3000</v>
      </c>
      <c r="F198" s="230">
        <v>500</v>
      </c>
      <c r="G198" s="191">
        <v>0</v>
      </c>
      <c r="H198" s="194">
        <v>0</v>
      </c>
      <c r="I198" s="195">
        <f>C198+D198</f>
        <v>3500</v>
      </c>
      <c r="J198" s="208">
        <f>(+E198+F198)*103.25</f>
        <v>361375</v>
      </c>
      <c r="K198" s="196">
        <f>(G198+H198)*103.25</f>
        <v>0</v>
      </c>
      <c r="L198" s="191">
        <v>260400</v>
      </c>
      <c r="M198" s="197"/>
      <c r="N198" s="198">
        <f>J198+K198-L198-M198</f>
        <v>100975</v>
      </c>
    </row>
    <row r="199" spans="1:14" s="188" customFormat="1" ht="45" customHeight="1">
      <c r="A199" s="239" t="s">
        <v>313</v>
      </c>
      <c r="B199" s="224" t="s">
        <v>312</v>
      </c>
      <c r="C199" s="272">
        <v>0</v>
      </c>
      <c r="D199" s="203">
        <v>60000</v>
      </c>
      <c r="E199" s="204">
        <v>10000</v>
      </c>
      <c r="F199" s="205">
        <v>20000</v>
      </c>
      <c r="G199" s="205">
        <v>20000</v>
      </c>
      <c r="H199" s="205">
        <v>10000</v>
      </c>
      <c r="I199" s="195">
        <f>C199+D199</f>
        <v>60000</v>
      </c>
      <c r="J199" s="208">
        <f>(+E199+F199)*103.25</f>
        <v>3097500</v>
      </c>
      <c r="K199" s="196">
        <f>(G199+H199)*103.25</f>
        <v>3097500</v>
      </c>
      <c r="L199" s="191">
        <v>0</v>
      </c>
      <c r="M199" s="197">
        <f>940398+568</f>
        <v>940966</v>
      </c>
      <c r="N199" s="198">
        <f>J199+K199-L199-M199</f>
        <v>5254034</v>
      </c>
    </row>
    <row r="200" spans="1:14" s="188" customFormat="1" ht="45" customHeight="1">
      <c r="A200" s="248"/>
      <c r="B200" s="213" t="s">
        <v>57</v>
      </c>
      <c r="C200" s="214">
        <f>SUM(C196:C199)</f>
        <v>7000</v>
      </c>
      <c r="D200" s="215">
        <f aca="true" t="shared" si="42" ref="D200:N200">SUM(D196:D199)</f>
        <v>120000</v>
      </c>
      <c r="E200" s="216">
        <f t="shared" si="42"/>
        <v>26000</v>
      </c>
      <c r="F200" s="214">
        <f t="shared" si="42"/>
        <v>41000</v>
      </c>
      <c r="G200" s="214">
        <f t="shared" si="42"/>
        <v>40000</v>
      </c>
      <c r="H200" s="214">
        <f t="shared" si="42"/>
        <v>20000</v>
      </c>
      <c r="I200" s="215">
        <f t="shared" si="42"/>
        <v>127000</v>
      </c>
      <c r="J200" s="216">
        <f t="shared" si="42"/>
        <v>6917750</v>
      </c>
      <c r="K200" s="216">
        <f t="shared" si="42"/>
        <v>6195000</v>
      </c>
      <c r="L200" s="216">
        <f t="shared" si="42"/>
        <v>399900</v>
      </c>
      <c r="M200" s="216">
        <f t="shared" si="42"/>
        <v>1343987</v>
      </c>
      <c r="N200" s="216">
        <f t="shared" si="42"/>
        <v>11368863</v>
      </c>
    </row>
    <row r="201" spans="1:14" s="188" customFormat="1" ht="45" customHeight="1">
      <c r="A201" s="233">
        <v>4.12</v>
      </c>
      <c r="B201" s="182" t="s">
        <v>314</v>
      </c>
      <c r="C201" s="183"/>
      <c r="D201" s="184"/>
      <c r="E201" s="185"/>
      <c r="F201" s="183"/>
      <c r="G201" s="183"/>
      <c r="H201" s="183"/>
      <c r="I201" s="184"/>
      <c r="J201" s="185"/>
      <c r="K201" s="186"/>
      <c r="L201" s="183"/>
      <c r="M201" s="187"/>
      <c r="N201" s="184"/>
    </row>
    <row r="202" spans="1:14" s="273" customFormat="1" ht="45" customHeight="1">
      <c r="A202" s="239" t="s">
        <v>315</v>
      </c>
      <c r="B202" s="219" t="s">
        <v>316</v>
      </c>
      <c r="C202" s="230">
        <v>14262</v>
      </c>
      <c r="D202" s="240">
        <v>0</v>
      </c>
      <c r="E202" s="241">
        <v>0</v>
      </c>
      <c r="F202" s="230">
        <v>14262</v>
      </c>
      <c r="G202" s="191">
        <v>0</v>
      </c>
      <c r="H202" s="194">
        <v>0</v>
      </c>
      <c r="I202" s="195">
        <f>C202+D202</f>
        <v>14262</v>
      </c>
      <c r="J202" s="208">
        <f>(+E202+F202)*103.25</f>
        <v>1472551.5</v>
      </c>
      <c r="K202" s="196">
        <f>(G202+H202)*103.25</f>
        <v>0</v>
      </c>
      <c r="L202" s="191">
        <v>1472524</v>
      </c>
      <c r="M202" s="197"/>
      <c r="N202" s="198">
        <f>J202+K202-L202-M202</f>
        <v>27.5</v>
      </c>
    </row>
    <row r="203" spans="1:14" s="229" customFormat="1" ht="45" customHeight="1">
      <c r="A203" s="239" t="s">
        <v>317</v>
      </c>
      <c r="B203" s="265" t="s">
        <v>316</v>
      </c>
      <c r="C203" s="272">
        <v>0</v>
      </c>
      <c r="D203" s="203">
        <v>10000</v>
      </c>
      <c r="E203" s="204">
        <v>3000</v>
      </c>
      <c r="F203" s="205">
        <v>3000</v>
      </c>
      <c r="G203" s="205">
        <v>4000</v>
      </c>
      <c r="H203" s="205">
        <v>0</v>
      </c>
      <c r="I203" s="195">
        <f>C203+D203</f>
        <v>10000</v>
      </c>
      <c r="J203" s="208">
        <f>(+E203+F203)*103.25</f>
        <v>619500</v>
      </c>
      <c r="K203" s="196">
        <f>(G203+H203)*103.25</f>
        <v>413000</v>
      </c>
      <c r="L203" s="191">
        <v>0</v>
      </c>
      <c r="M203" s="197">
        <v>1036870</v>
      </c>
      <c r="N203" s="198">
        <f>J203+K203-L203-M203</f>
        <v>-4370</v>
      </c>
    </row>
    <row r="204" spans="1:14" s="199" customFormat="1" ht="45" customHeight="1">
      <c r="A204" s="239" t="s">
        <v>318</v>
      </c>
      <c r="B204" s="219" t="s">
        <v>319</v>
      </c>
      <c r="C204" s="230">
        <v>2000</v>
      </c>
      <c r="D204" s="240">
        <v>0</v>
      </c>
      <c r="E204" s="241">
        <v>2000</v>
      </c>
      <c r="F204" s="230">
        <v>0</v>
      </c>
      <c r="G204" s="191">
        <v>0</v>
      </c>
      <c r="H204" s="194">
        <v>0</v>
      </c>
      <c r="I204" s="195">
        <f>C204+D204</f>
        <v>2000</v>
      </c>
      <c r="J204" s="208">
        <f>(+E204+F204)*103.25</f>
        <v>206500</v>
      </c>
      <c r="K204" s="196">
        <f>(G204+H204)*103.25</f>
        <v>0</v>
      </c>
      <c r="L204" s="191">
        <v>0</v>
      </c>
      <c r="M204" s="197">
        <v>241200</v>
      </c>
      <c r="N204" s="198">
        <f>J204+K204-L204-M204</f>
        <v>-34700</v>
      </c>
    </row>
    <row r="205" spans="1:14" s="188" customFormat="1" ht="45" customHeight="1">
      <c r="A205" s="239" t="s">
        <v>320</v>
      </c>
      <c r="B205" s="224" t="s">
        <v>319</v>
      </c>
      <c r="C205" s="272">
        <v>0</v>
      </c>
      <c r="D205" s="203">
        <v>5000</v>
      </c>
      <c r="E205" s="204">
        <v>0</v>
      </c>
      <c r="F205" s="205">
        <v>1500</v>
      </c>
      <c r="G205" s="205">
        <v>2000</v>
      </c>
      <c r="H205" s="205">
        <v>1500</v>
      </c>
      <c r="I205" s="195">
        <f>C205+D205</f>
        <v>5000</v>
      </c>
      <c r="J205" s="208">
        <f>(+E205+F205)*103.25</f>
        <v>154875</v>
      </c>
      <c r="K205" s="196">
        <f>(G205+H205)*103.25</f>
        <v>361375</v>
      </c>
      <c r="L205" s="191">
        <v>0</v>
      </c>
      <c r="M205" s="197"/>
      <c r="N205" s="198">
        <f>J205+K205-L205-M205</f>
        <v>516250</v>
      </c>
    </row>
    <row r="206" spans="1:14" s="188" customFormat="1" ht="45" customHeight="1">
      <c r="A206" s="248"/>
      <c r="B206" s="213" t="s">
        <v>57</v>
      </c>
      <c r="C206" s="214">
        <f>SUM(C202:C205)</f>
        <v>16262</v>
      </c>
      <c r="D206" s="215">
        <f aca="true" t="shared" si="43" ref="D206:N206">SUM(D202:D205)</f>
        <v>15000</v>
      </c>
      <c r="E206" s="216">
        <f t="shared" si="43"/>
        <v>5000</v>
      </c>
      <c r="F206" s="214">
        <f t="shared" si="43"/>
        <v>18762</v>
      </c>
      <c r="G206" s="214">
        <f t="shared" si="43"/>
        <v>6000</v>
      </c>
      <c r="H206" s="214">
        <f t="shared" si="43"/>
        <v>1500</v>
      </c>
      <c r="I206" s="215">
        <f t="shared" si="43"/>
        <v>31262</v>
      </c>
      <c r="J206" s="216">
        <f t="shared" si="43"/>
        <v>2453426.5</v>
      </c>
      <c r="K206" s="216">
        <f t="shared" si="43"/>
        <v>774375</v>
      </c>
      <c r="L206" s="216">
        <f t="shared" si="43"/>
        <v>1472524</v>
      </c>
      <c r="M206" s="216">
        <f t="shared" si="43"/>
        <v>1278070</v>
      </c>
      <c r="N206" s="216">
        <f t="shared" si="43"/>
        <v>477207.5</v>
      </c>
    </row>
    <row r="207" spans="1:14" s="188" customFormat="1" ht="45" customHeight="1">
      <c r="A207" s="248">
        <v>4.13</v>
      </c>
      <c r="B207" s="182" t="s">
        <v>321</v>
      </c>
      <c r="C207" s="251"/>
      <c r="D207" s="252"/>
      <c r="E207" s="253"/>
      <c r="F207" s="251"/>
      <c r="G207" s="251"/>
      <c r="H207" s="251"/>
      <c r="I207" s="252"/>
      <c r="J207" s="253"/>
      <c r="K207" s="182"/>
      <c r="L207" s="251"/>
      <c r="M207" s="254"/>
      <c r="N207" s="252"/>
    </row>
    <row r="208" spans="1:14" s="188" customFormat="1" ht="45" customHeight="1">
      <c r="A208" s="239" t="s">
        <v>322</v>
      </c>
      <c r="B208" s="224" t="s">
        <v>323</v>
      </c>
      <c r="C208" s="225">
        <v>0</v>
      </c>
      <c r="D208" s="203">
        <v>10000</v>
      </c>
      <c r="E208" s="242">
        <v>2000</v>
      </c>
      <c r="F208" s="225">
        <v>2000</v>
      </c>
      <c r="G208" s="225">
        <v>4000</v>
      </c>
      <c r="H208" s="225">
        <v>2000</v>
      </c>
      <c r="I208" s="195">
        <f>C208+D208</f>
        <v>10000</v>
      </c>
      <c r="J208" s="208">
        <f>(+E208+F208)*103.25</f>
        <v>413000</v>
      </c>
      <c r="K208" s="196">
        <f>(G208+H208)*103.25</f>
        <v>619500</v>
      </c>
      <c r="L208" s="191">
        <v>0</v>
      </c>
      <c r="M208" s="197"/>
      <c r="N208" s="198">
        <f>J208+K208-L208-M208</f>
        <v>1032500</v>
      </c>
    </row>
    <row r="209" spans="1:14" s="188" customFormat="1" ht="45" customHeight="1">
      <c r="A209" s="274" t="s">
        <v>324</v>
      </c>
      <c r="B209" s="224" t="s">
        <v>325</v>
      </c>
      <c r="C209" s="225">
        <v>0</v>
      </c>
      <c r="D209" s="203">
        <v>5000</v>
      </c>
      <c r="E209" s="242">
        <v>0</v>
      </c>
      <c r="F209" s="225">
        <v>1000</v>
      </c>
      <c r="G209" s="225">
        <v>3000</v>
      </c>
      <c r="H209" s="225">
        <v>1000</v>
      </c>
      <c r="I209" s="195">
        <f>C209+D209</f>
        <v>5000</v>
      </c>
      <c r="J209" s="208">
        <f>(+E209+F209)*103.25</f>
        <v>103250</v>
      </c>
      <c r="K209" s="196">
        <f>(G209+H209)*103.25</f>
        <v>413000</v>
      </c>
      <c r="L209" s="191">
        <v>0</v>
      </c>
      <c r="M209" s="197"/>
      <c r="N209" s="198">
        <f>J209+K209-L209-M209</f>
        <v>516250</v>
      </c>
    </row>
    <row r="210" spans="1:14" s="188" customFormat="1" ht="45" customHeight="1">
      <c r="A210" s="248"/>
      <c r="B210" s="213" t="s">
        <v>57</v>
      </c>
      <c r="C210" s="214">
        <f>SUM(C208:C209)</f>
        <v>0</v>
      </c>
      <c r="D210" s="215">
        <f aca="true" t="shared" si="44" ref="D210:N210">SUM(D208:D209)</f>
        <v>15000</v>
      </c>
      <c r="E210" s="216">
        <f t="shared" si="44"/>
        <v>2000</v>
      </c>
      <c r="F210" s="214">
        <f t="shared" si="44"/>
        <v>3000</v>
      </c>
      <c r="G210" s="214">
        <f t="shared" si="44"/>
        <v>7000</v>
      </c>
      <c r="H210" s="214">
        <f t="shared" si="44"/>
        <v>3000</v>
      </c>
      <c r="I210" s="215">
        <f t="shared" si="44"/>
        <v>15000</v>
      </c>
      <c r="J210" s="216">
        <f t="shared" si="44"/>
        <v>516250</v>
      </c>
      <c r="K210" s="216">
        <f t="shared" si="44"/>
        <v>1032500</v>
      </c>
      <c r="L210" s="216">
        <f t="shared" si="44"/>
        <v>0</v>
      </c>
      <c r="M210" s="216">
        <f t="shared" si="44"/>
        <v>0</v>
      </c>
      <c r="N210" s="216">
        <f t="shared" si="44"/>
        <v>1548750</v>
      </c>
    </row>
    <row r="211" spans="1:14" s="188" customFormat="1" ht="45" customHeight="1">
      <c r="A211" s="233">
        <v>4.14</v>
      </c>
      <c r="B211" s="182" t="s">
        <v>326</v>
      </c>
      <c r="C211" s="183"/>
      <c r="D211" s="184"/>
      <c r="E211" s="185"/>
      <c r="F211" s="183"/>
      <c r="G211" s="183"/>
      <c r="H211" s="183"/>
      <c r="I211" s="184"/>
      <c r="J211" s="185"/>
      <c r="K211" s="186"/>
      <c r="L211" s="183"/>
      <c r="M211" s="187"/>
      <c r="N211" s="184"/>
    </row>
    <row r="212" spans="1:14" s="188" customFormat="1" ht="45" customHeight="1">
      <c r="A212" s="239" t="s">
        <v>327</v>
      </c>
      <c r="B212" s="224" t="s">
        <v>328</v>
      </c>
      <c r="C212" s="225">
        <v>0</v>
      </c>
      <c r="D212" s="203">
        <v>1500</v>
      </c>
      <c r="E212" s="242">
        <v>0</v>
      </c>
      <c r="F212" s="205">
        <v>0</v>
      </c>
      <c r="G212" s="205">
        <v>1500</v>
      </c>
      <c r="H212" s="205">
        <v>0</v>
      </c>
      <c r="I212" s="195">
        <f>C212+D212</f>
        <v>1500</v>
      </c>
      <c r="J212" s="208">
        <f>(+E212+F212)*103.25</f>
        <v>0</v>
      </c>
      <c r="K212" s="196">
        <f>(G212+H212)*103.25</f>
        <v>154875</v>
      </c>
      <c r="L212" s="191">
        <v>0</v>
      </c>
      <c r="M212" s="197"/>
      <c r="N212" s="198">
        <f>J212+K212-L212-M212</f>
        <v>154875</v>
      </c>
    </row>
    <row r="213" spans="1:14" s="199" customFormat="1" ht="45" customHeight="1">
      <c r="A213" s="212" t="s">
        <v>329</v>
      </c>
      <c r="B213" s="219" t="s">
        <v>330</v>
      </c>
      <c r="C213" s="230">
        <v>2000</v>
      </c>
      <c r="D213" s="240">
        <v>0</v>
      </c>
      <c r="E213" s="241">
        <v>1000</v>
      </c>
      <c r="F213" s="230">
        <v>1000</v>
      </c>
      <c r="G213" s="191">
        <v>0</v>
      </c>
      <c r="H213" s="194">
        <v>0</v>
      </c>
      <c r="I213" s="195">
        <f>C213+D213</f>
        <v>2000</v>
      </c>
      <c r="J213" s="208">
        <f>(+E213+F213)*103.25</f>
        <v>206500</v>
      </c>
      <c r="K213" s="196">
        <f>(G213+H213)*103.25</f>
        <v>0</v>
      </c>
      <c r="L213" s="191">
        <v>61100</v>
      </c>
      <c r="M213" s="197">
        <v>73210</v>
      </c>
      <c r="N213" s="198">
        <f>J213+K213-L213-M213</f>
        <v>72190</v>
      </c>
    </row>
    <row r="214" spans="1:14" s="188" customFormat="1" ht="45" customHeight="1">
      <c r="A214" s="239" t="s">
        <v>331</v>
      </c>
      <c r="B214" s="224" t="s">
        <v>330</v>
      </c>
      <c r="C214" s="225">
        <v>0</v>
      </c>
      <c r="D214" s="203">
        <v>1500</v>
      </c>
      <c r="E214" s="242">
        <v>500</v>
      </c>
      <c r="F214" s="205">
        <v>500</v>
      </c>
      <c r="G214" s="205">
        <v>200</v>
      </c>
      <c r="H214" s="205">
        <v>300</v>
      </c>
      <c r="I214" s="195">
        <f>C214+D214</f>
        <v>1500</v>
      </c>
      <c r="J214" s="208">
        <f>(+E214+F214)*103.25</f>
        <v>103250</v>
      </c>
      <c r="K214" s="196">
        <f>(G214+H214)*103.25</f>
        <v>51625</v>
      </c>
      <c r="L214" s="191">
        <v>0</v>
      </c>
      <c r="M214" s="197">
        <v>41250</v>
      </c>
      <c r="N214" s="198">
        <f>J214+K214-L214-M214</f>
        <v>113625</v>
      </c>
    </row>
    <row r="215" spans="1:14" s="199" customFormat="1" ht="45" customHeight="1">
      <c r="A215" s="212" t="s">
        <v>332</v>
      </c>
      <c r="B215" s="219" t="s">
        <v>333</v>
      </c>
      <c r="C215" s="230">
        <v>8000</v>
      </c>
      <c r="D215" s="240">
        <v>0</v>
      </c>
      <c r="E215" s="241">
        <v>4000</v>
      </c>
      <c r="F215" s="230">
        <v>4000</v>
      </c>
      <c r="G215" s="191">
        <v>0</v>
      </c>
      <c r="H215" s="194">
        <v>0</v>
      </c>
      <c r="I215" s="195">
        <f>C215+D215</f>
        <v>8000</v>
      </c>
      <c r="J215" s="208">
        <f>(+E215+F215)*103.25</f>
        <v>826000</v>
      </c>
      <c r="K215" s="196">
        <f>(G215+H215)*103.25</f>
        <v>0</v>
      </c>
      <c r="L215" s="191">
        <v>825236</v>
      </c>
      <c r="M215" s="197"/>
      <c r="N215" s="198">
        <f>J215+K215-L215-M215</f>
        <v>764</v>
      </c>
    </row>
    <row r="216" spans="1:14" s="188" customFormat="1" ht="45" customHeight="1">
      <c r="A216" s="239" t="s">
        <v>334</v>
      </c>
      <c r="B216" s="224" t="s">
        <v>333</v>
      </c>
      <c r="C216" s="225">
        <v>0</v>
      </c>
      <c r="D216" s="203">
        <v>12000</v>
      </c>
      <c r="E216" s="242">
        <v>2000</v>
      </c>
      <c r="F216" s="205">
        <v>3000</v>
      </c>
      <c r="G216" s="205">
        <v>3000</v>
      </c>
      <c r="H216" s="205">
        <v>4000</v>
      </c>
      <c r="I216" s="195">
        <f>C216+D216</f>
        <v>12000</v>
      </c>
      <c r="J216" s="208">
        <f>(+E216+F216)*103.25</f>
        <v>516250</v>
      </c>
      <c r="K216" s="196">
        <f>(G216+H216)*103.25</f>
        <v>722750</v>
      </c>
      <c r="L216" s="191">
        <v>0</v>
      </c>
      <c r="M216" s="197">
        <f>109100+279800</f>
        <v>388900</v>
      </c>
      <c r="N216" s="198">
        <f>J216+K216-L216-M216</f>
        <v>850100</v>
      </c>
    </row>
    <row r="217" spans="1:14" s="188" customFormat="1" ht="45" customHeight="1">
      <c r="A217" s="248"/>
      <c r="B217" s="213" t="s">
        <v>57</v>
      </c>
      <c r="C217" s="214">
        <f>SUM(C212:C216)</f>
        <v>10000</v>
      </c>
      <c r="D217" s="215">
        <f aca="true" t="shared" si="45" ref="D217:N217">SUM(D212:D216)</f>
        <v>15000</v>
      </c>
      <c r="E217" s="216">
        <f t="shared" si="45"/>
        <v>7500</v>
      </c>
      <c r="F217" s="214">
        <f t="shared" si="45"/>
        <v>8500</v>
      </c>
      <c r="G217" s="214">
        <f t="shared" si="45"/>
        <v>4700</v>
      </c>
      <c r="H217" s="214">
        <f t="shared" si="45"/>
        <v>4300</v>
      </c>
      <c r="I217" s="215">
        <f t="shared" si="45"/>
        <v>25000</v>
      </c>
      <c r="J217" s="216">
        <f t="shared" si="45"/>
        <v>1652000</v>
      </c>
      <c r="K217" s="216">
        <f t="shared" si="45"/>
        <v>929250</v>
      </c>
      <c r="L217" s="216">
        <f t="shared" si="45"/>
        <v>886336</v>
      </c>
      <c r="M217" s="216">
        <f t="shared" si="45"/>
        <v>503360</v>
      </c>
      <c r="N217" s="216">
        <f t="shared" si="45"/>
        <v>1191554</v>
      </c>
    </row>
    <row r="218" spans="1:14" s="188" customFormat="1" ht="45" customHeight="1">
      <c r="A218" s="248">
        <v>4.18</v>
      </c>
      <c r="B218" s="182" t="s">
        <v>335</v>
      </c>
      <c r="C218" s="251"/>
      <c r="D218" s="252"/>
      <c r="E218" s="253"/>
      <c r="F218" s="251"/>
      <c r="G218" s="251"/>
      <c r="H218" s="251"/>
      <c r="I218" s="252"/>
      <c r="J218" s="253"/>
      <c r="K218" s="182"/>
      <c r="L218" s="251"/>
      <c r="M218" s="254"/>
      <c r="N218" s="252"/>
    </row>
    <row r="219" spans="1:14" s="199" customFormat="1" ht="45" customHeight="1">
      <c r="A219" s="212" t="s">
        <v>336</v>
      </c>
      <c r="B219" s="219" t="s">
        <v>337</v>
      </c>
      <c r="C219" s="230">
        <v>8000</v>
      </c>
      <c r="D219" s="240">
        <v>0</v>
      </c>
      <c r="E219" s="241">
        <v>5000</v>
      </c>
      <c r="F219" s="230">
        <v>3000</v>
      </c>
      <c r="G219" s="191">
        <v>0</v>
      </c>
      <c r="H219" s="194">
        <v>0</v>
      </c>
      <c r="I219" s="195">
        <f>C219+D219</f>
        <v>8000</v>
      </c>
      <c r="J219" s="208">
        <f>(+E219+F219)*103.25</f>
        <v>826000</v>
      </c>
      <c r="K219" s="196">
        <f>(G219+H219)*103.25</f>
        <v>0</v>
      </c>
      <c r="L219" s="191">
        <v>669000</v>
      </c>
      <c r="M219" s="197"/>
      <c r="N219" s="198">
        <f>J219+K219-L219-M219</f>
        <v>157000</v>
      </c>
    </row>
    <row r="220" spans="1:14" s="188" customFormat="1" ht="45" customHeight="1">
      <c r="A220" s="239" t="s">
        <v>338</v>
      </c>
      <c r="B220" s="224" t="s">
        <v>337</v>
      </c>
      <c r="C220" s="272">
        <v>0</v>
      </c>
      <c r="D220" s="203">
        <v>14000</v>
      </c>
      <c r="E220" s="242">
        <v>5000</v>
      </c>
      <c r="F220" s="225">
        <v>3000</v>
      </c>
      <c r="G220" s="225">
        <v>4000</v>
      </c>
      <c r="H220" s="225">
        <v>2000</v>
      </c>
      <c r="I220" s="195">
        <f>C220+D220</f>
        <v>14000</v>
      </c>
      <c r="J220" s="208">
        <f>(+E220+F220)*103.25</f>
        <v>826000</v>
      </c>
      <c r="K220" s="196">
        <f>(G220+H220)*103.25</f>
        <v>619500</v>
      </c>
      <c r="L220" s="191">
        <v>0</v>
      </c>
      <c r="M220" s="197"/>
      <c r="N220" s="198">
        <f>J220+K220-L220-M220</f>
        <v>1445500</v>
      </c>
    </row>
    <row r="221" spans="1:14" s="188" customFormat="1" ht="45" customHeight="1">
      <c r="A221" s="248"/>
      <c r="B221" s="213" t="s">
        <v>57</v>
      </c>
      <c r="C221" s="214">
        <f>SUM(C219:C220)</f>
        <v>8000</v>
      </c>
      <c r="D221" s="215">
        <f aca="true" t="shared" si="46" ref="D221:N221">SUM(D219:D220)</f>
        <v>14000</v>
      </c>
      <c r="E221" s="216">
        <f t="shared" si="46"/>
        <v>10000</v>
      </c>
      <c r="F221" s="214">
        <f t="shared" si="46"/>
        <v>6000</v>
      </c>
      <c r="G221" s="214">
        <f t="shared" si="46"/>
        <v>4000</v>
      </c>
      <c r="H221" s="214">
        <f t="shared" si="46"/>
        <v>2000</v>
      </c>
      <c r="I221" s="215">
        <f t="shared" si="46"/>
        <v>22000</v>
      </c>
      <c r="J221" s="216">
        <f t="shared" si="46"/>
        <v>1652000</v>
      </c>
      <c r="K221" s="216">
        <f t="shared" si="46"/>
        <v>619500</v>
      </c>
      <c r="L221" s="216">
        <v>669000</v>
      </c>
      <c r="M221" s="216">
        <f t="shared" si="46"/>
        <v>0</v>
      </c>
      <c r="N221" s="216">
        <f t="shared" si="46"/>
        <v>1602500</v>
      </c>
    </row>
    <row r="222" spans="1:14" ht="45" customHeight="1">
      <c r="A222" s="263"/>
      <c r="B222" s="244" t="s">
        <v>339</v>
      </c>
      <c r="C222" s="245">
        <f>+C158+C160+C163+C165+C172+C174+C177+C181+C187+C191+C194+C200+C206+C210+C217+C221</f>
        <v>372432.004842615</v>
      </c>
      <c r="D222" s="246">
        <f aca="true" t="shared" si="47" ref="D222:N222">+D158+D160+D163+D165+D172+D174+D177+D181+D187+D191+D194+D200+D206+D210+D217+D221</f>
        <v>807000</v>
      </c>
      <c r="E222" s="247">
        <f t="shared" si="47"/>
        <v>85000</v>
      </c>
      <c r="F222" s="245">
        <f t="shared" si="47"/>
        <v>543432</v>
      </c>
      <c r="G222" s="245">
        <f t="shared" si="47"/>
        <v>488700</v>
      </c>
      <c r="H222" s="245">
        <f t="shared" si="47"/>
        <v>62300</v>
      </c>
      <c r="I222" s="246">
        <f t="shared" si="47"/>
        <v>1179432.004842615</v>
      </c>
      <c r="J222" s="247">
        <f t="shared" si="47"/>
        <v>64885604</v>
      </c>
      <c r="K222" s="247">
        <f t="shared" si="47"/>
        <v>56890750</v>
      </c>
      <c r="L222" s="247">
        <f t="shared" si="47"/>
        <v>14113092</v>
      </c>
      <c r="M222" s="247">
        <f t="shared" si="47"/>
        <v>16632798</v>
      </c>
      <c r="N222" s="247">
        <f t="shared" si="47"/>
        <v>91030464</v>
      </c>
    </row>
    <row r="223" spans="1:14" s="188" customFormat="1" ht="45" customHeight="1">
      <c r="A223" s="181">
        <v>6</v>
      </c>
      <c r="B223" s="182" t="s">
        <v>340</v>
      </c>
      <c r="C223" s="183"/>
      <c r="D223" s="184"/>
      <c r="E223" s="185"/>
      <c r="F223" s="183"/>
      <c r="G223" s="183"/>
      <c r="H223" s="183"/>
      <c r="I223" s="184"/>
      <c r="J223" s="185"/>
      <c r="K223" s="186"/>
      <c r="L223" s="183"/>
      <c r="M223" s="187"/>
      <c r="N223" s="184"/>
    </row>
    <row r="224" spans="1:14" s="188" customFormat="1" ht="45" customHeight="1">
      <c r="A224" s="239" t="s">
        <v>341</v>
      </c>
      <c r="B224" s="224" t="s">
        <v>342</v>
      </c>
      <c r="C224" s="272">
        <v>0</v>
      </c>
      <c r="D224" s="203">
        <v>0</v>
      </c>
      <c r="E224" s="204">
        <v>0</v>
      </c>
      <c r="F224" s="205">
        <v>0</v>
      </c>
      <c r="G224" s="205">
        <v>0</v>
      </c>
      <c r="H224" s="205">
        <v>0</v>
      </c>
      <c r="I224" s="195">
        <f>C224+D224</f>
        <v>0</v>
      </c>
      <c r="J224" s="208">
        <f>(+E224+F224)*103.25</f>
        <v>0</v>
      </c>
      <c r="K224" s="196">
        <f>(G224+H224)*103.25</f>
        <v>0</v>
      </c>
      <c r="L224" s="191">
        <v>0</v>
      </c>
      <c r="M224" s="197"/>
      <c r="N224" s="198">
        <f>J224+K224-L224-M224</f>
        <v>0</v>
      </c>
    </row>
    <row r="225" spans="1:14" s="188" customFormat="1" ht="45" customHeight="1">
      <c r="A225" s="239" t="s">
        <v>343</v>
      </c>
      <c r="B225" s="224" t="s">
        <v>344</v>
      </c>
      <c r="C225" s="272">
        <v>0</v>
      </c>
      <c r="D225" s="203">
        <v>500</v>
      </c>
      <c r="E225" s="204">
        <v>0</v>
      </c>
      <c r="F225" s="205">
        <v>0</v>
      </c>
      <c r="G225" s="205">
        <v>0</v>
      </c>
      <c r="H225" s="205">
        <v>500</v>
      </c>
      <c r="I225" s="195">
        <f>C225+D225</f>
        <v>500</v>
      </c>
      <c r="J225" s="208">
        <f>(+E225+F225)*103.25</f>
        <v>0</v>
      </c>
      <c r="K225" s="196">
        <f>(G225+H225)*103.25</f>
        <v>51625</v>
      </c>
      <c r="L225" s="191">
        <v>0</v>
      </c>
      <c r="M225" s="197"/>
      <c r="N225" s="198">
        <f>J225+K225-L225-M225</f>
        <v>51625</v>
      </c>
    </row>
    <row r="226" spans="1:14" s="188" customFormat="1" ht="45" customHeight="1">
      <c r="A226" s="239" t="s">
        <v>345</v>
      </c>
      <c r="B226" s="224" t="s">
        <v>346</v>
      </c>
      <c r="C226" s="272">
        <v>0</v>
      </c>
      <c r="D226" s="203">
        <v>0</v>
      </c>
      <c r="E226" s="204">
        <v>0</v>
      </c>
      <c r="F226" s="205">
        <v>0</v>
      </c>
      <c r="G226" s="205">
        <v>0</v>
      </c>
      <c r="H226" s="205">
        <v>0</v>
      </c>
      <c r="I226" s="195">
        <f>C226+D226</f>
        <v>0</v>
      </c>
      <c r="J226" s="208">
        <f>(+E226+F226)*103.25</f>
        <v>0</v>
      </c>
      <c r="K226" s="196">
        <f>(G226+H226)*103.25</f>
        <v>0</v>
      </c>
      <c r="L226" s="191">
        <v>0</v>
      </c>
      <c r="M226" s="197"/>
      <c r="N226" s="198">
        <f>J226+K226-L226-M226</f>
        <v>0</v>
      </c>
    </row>
    <row r="227" spans="1:14" s="188" customFormat="1" ht="45" customHeight="1">
      <c r="A227" s="239" t="s">
        <v>347</v>
      </c>
      <c r="B227" s="224" t="s">
        <v>348</v>
      </c>
      <c r="C227" s="272">
        <v>0</v>
      </c>
      <c r="D227" s="203">
        <v>0</v>
      </c>
      <c r="E227" s="204">
        <v>0</v>
      </c>
      <c r="F227" s="205">
        <v>0</v>
      </c>
      <c r="G227" s="205">
        <v>0</v>
      </c>
      <c r="H227" s="205">
        <v>0</v>
      </c>
      <c r="I227" s="195">
        <f>C227+D227</f>
        <v>0</v>
      </c>
      <c r="J227" s="208">
        <f>(+E227+F227)*103.25</f>
        <v>0</v>
      </c>
      <c r="K227" s="196">
        <f>(G227+H227)*103.25</f>
        <v>0</v>
      </c>
      <c r="L227" s="191">
        <v>0</v>
      </c>
      <c r="M227" s="197"/>
      <c r="N227" s="198">
        <f>J227+K227-L227-M227</f>
        <v>0</v>
      </c>
    </row>
    <row r="228" spans="1:14" ht="45" customHeight="1">
      <c r="A228" s="263"/>
      <c r="B228" s="244" t="s">
        <v>57</v>
      </c>
      <c r="C228" s="245">
        <f>SUM(C224:C227)</f>
        <v>0</v>
      </c>
      <c r="D228" s="246">
        <f aca="true" t="shared" si="48" ref="D228:N228">SUM(D224:D227)</f>
        <v>500</v>
      </c>
      <c r="E228" s="247">
        <f t="shared" si="48"/>
        <v>0</v>
      </c>
      <c r="F228" s="245">
        <f t="shared" si="48"/>
        <v>0</v>
      </c>
      <c r="G228" s="245">
        <f t="shared" si="48"/>
        <v>0</v>
      </c>
      <c r="H228" s="245">
        <f t="shared" si="48"/>
        <v>500</v>
      </c>
      <c r="I228" s="246">
        <f t="shared" si="48"/>
        <v>500</v>
      </c>
      <c r="J228" s="247">
        <f t="shared" si="48"/>
        <v>0</v>
      </c>
      <c r="K228" s="247">
        <f t="shared" si="48"/>
        <v>51625</v>
      </c>
      <c r="L228" s="247">
        <f t="shared" si="48"/>
        <v>0</v>
      </c>
      <c r="M228" s="247">
        <f t="shared" si="48"/>
        <v>0</v>
      </c>
      <c r="N228" s="247">
        <f t="shared" si="48"/>
        <v>51625</v>
      </c>
    </row>
    <row r="229" spans="1:14" s="188" customFormat="1" ht="45" customHeight="1">
      <c r="A229" s="181">
        <v>7</v>
      </c>
      <c r="B229" s="182" t="s">
        <v>349</v>
      </c>
      <c r="C229" s="183"/>
      <c r="D229" s="184"/>
      <c r="E229" s="185"/>
      <c r="F229" s="183"/>
      <c r="G229" s="183"/>
      <c r="H229" s="183"/>
      <c r="I229" s="184"/>
      <c r="J229" s="185"/>
      <c r="K229" s="186"/>
      <c r="L229" s="183"/>
      <c r="M229" s="187"/>
      <c r="N229" s="184"/>
    </row>
    <row r="230" spans="1:14" ht="45" customHeight="1">
      <c r="A230" s="212" t="s">
        <v>350</v>
      </c>
      <c r="B230" s="201" t="s">
        <v>351</v>
      </c>
      <c r="C230" s="272">
        <v>0</v>
      </c>
      <c r="D230" s="203">
        <v>500</v>
      </c>
      <c r="E230" s="204">
        <v>0</v>
      </c>
      <c r="F230" s="205">
        <v>0</v>
      </c>
      <c r="G230" s="205">
        <v>0</v>
      </c>
      <c r="H230" s="205">
        <v>500</v>
      </c>
      <c r="I230" s="195">
        <f>C230+D230</f>
        <v>500</v>
      </c>
      <c r="J230" s="208">
        <f>(+E230+F230)*103.25</f>
        <v>0</v>
      </c>
      <c r="K230" s="196">
        <f>(G230+H230)*103.25</f>
        <v>51625</v>
      </c>
      <c r="L230" s="191">
        <v>0</v>
      </c>
      <c r="M230" s="197"/>
      <c r="N230" s="198">
        <f>J230+K230-L230-M230</f>
        <v>51625</v>
      </c>
    </row>
    <row r="231" spans="1:14" ht="45" customHeight="1">
      <c r="A231" s="212" t="s">
        <v>352</v>
      </c>
      <c r="B231" s="201" t="s">
        <v>353</v>
      </c>
      <c r="C231" s="272">
        <v>0</v>
      </c>
      <c r="D231" s="203">
        <v>0</v>
      </c>
      <c r="E231" s="204">
        <v>0</v>
      </c>
      <c r="F231" s="205">
        <v>0</v>
      </c>
      <c r="G231" s="205">
        <v>0</v>
      </c>
      <c r="H231" s="205">
        <v>0</v>
      </c>
      <c r="I231" s="195">
        <f>C231+D231</f>
        <v>0</v>
      </c>
      <c r="J231" s="208">
        <f>(+E231+F231)*103.25</f>
        <v>0</v>
      </c>
      <c r="K231" s="196">
        <f>(G231+H231)*103.25</f>
        <v>0</v>
      </c>
      <c r="L231" s="191">
        <v>0</v>
      </c>
      <c r="M231" s="197"/>
      <c r="N231" s="198">
        <f>J231+K231-L231-M231</f>
        <v>0</v>
      </c>
    </row>
    <row r="232" spans="1:14" ht="45" customHeight="1">
      <c r="A232" s="263"/>
      <c r="B232" s="244" t="s">
        <v>57</v>
      </c>
      <c r="C232" s="245">
        <f>SUM(C230:C231)</f>
        <v>0</v>
      </c>
      <c r="D232" s="245">
        <f aca="true" t="shared" si="49" ref="D232:N232">SUM(D230:D231)</f>
        <v>500</v>
      </c>
      <c r="E232" s="245">
        <f t="shared" si="49"/>
        <v>0</v>
      </c>
      <c r="F232" s="245">
        <f t="shared" si="49"/>
        <v>0</v>
      </c>
      <c r="G232" s="245">
        <f t="shared" si="49"/>
        <v>0</v>
      </c>
      <c r="H232" s="245">
        <f t="shared" si="49"/>
        <v>500</v>
      </c>
      <c r="I232" s="245">
        <f t="shared" si="49"/>
        <v>500</v>
      </c>
      <c r="J232" s="245">
        <f t="shared" si="49"/>
        <v>0</v>
      </c>
      <c r="K232" s="245">
        <f t="shared" si="49"/>
        <v>51625</v>
      </c>
      <c r="L232" s="245">
        <f t="shared" si="49"/>
        <v>0</v>
      </c>
      <c r="M232" s="245">
        <f t="shared" si="49"/>
        <v>0</v>
      </c>
      <c r="N232" s="245">
        <f t="shared" si="49"/>
        <v>51625</v>
      </c>
    </row>
    <row r="233" spans="1:14" ht="45" customHeight="1">
      <c r="A233" s="275"/>
      <c r="B233" s="276"/>
      <c r="C233" s="277">
        <f>+C34+C79+C107+C222+C228+C232</f>
        <v>632002.004842615</v>
      </c>
      <c r="D233" s="277">
        <f aca="true" t="shared" si="50" ref="D233:N233">+D34+D79+D107+D222+D228+D232</f>
        <v>1265245</v>
      </c>
      <c r="E233" s="277">
        <f t="shared" si="50"/>
        <v>329837</v>
      </c>
      <c r="F233" s="277">
        <f t="shared" si="50"/>
        <v>754393</v>
      </c>
      <c r="G233" s="277">
        <f t="shared" si="50"/>
        <v>681472</v>
      </c>
      <c r="H233" s="277">
        <f t="shared" si="50"/>
        <v>161545</v>
      </c>
      <c r="I233" s="277">
        <f t="shared" si="50"/>
        <v>1897247.004842615</v>
      </c>
      <c r="J233" s="277">
        <f t="shared" si="50"/>
        <v>111946747.5</v>
      </c>
      <c r="K233" s="277">
        <f t="shared" si="50"/>
        <v>87041505.25</v>
      </c>
      <c r="L233" s="277">
        <f t="shared" si="50"/>
        <v>29646792</v>
      </c>
      <c r="M233" s="277">
        <f t="shared" si="50"/>
        <v>50552686</v>
      </c>
      <c r="N233" s="277">
        <f t="shared" si="50"/>
        <v>118788774.75</v>
      </c>
    </row>
    <row r="234" spans="1:14" s="188" customFormat="1" ht="45" customHeight="1">
      <c r="A234" s="181">
        <v>8</v>
      </c>
      <c r="B234" s="182" t="s">
        <v>19</v>
      </c>
      <c r="C234" s="183"/>
      <c r="D234" s="184"/>
      <c r="E234" s="185"/>
      <c r="F234" s="183"/>
      <c r="G234" s="183"/>
      <c r="H234" s="183"/>
      <c r="I234" s="184"/>
      <c r="J234" s="185"/>
      <c r="K234" s="186"/>
      <c r="L234" s="183"/>
      <c r="M234" s="187"/>
      <c r="N234" s="184"/>
    </row>
    <row r="235" spans="1:15" ht="45" customHeight="1">
      <c r="A235" s="212">
        <v>8.1</v>
      </c>
      <c r="B235" s="278" t="s">
        <v>354</v>
      </c>
      <c r="C235" s="202">
        <v>0</v>
      </c>
      <c r="D235" s="203">
        <f>1400400/103.25</f>
        <v>13563.19612590799</v>
      </c>
      <c r="E235" s="204">
        <v>0</v>
      </c>
      <c r="F235" s="205">
        <v>8306</v>
      </c>
      <c r="G235" s="205">
        <v>0</v>
      </c>
      <c r="H235" s="205">
        <f>+I235-F236</f>
        <v>5257.196125907991</v>
      </c>
      <c r="I235" s="195">
        <f>C235+D235</f>
        <v>13563.19612590799</v>
      </c>
      <c r="J235" s="208">
        <f>(+E235+F235)*103.25</f>
        <v>857594.5</v>
      </c>
      <c r="K235" s="196">
        <f>(G235+H235)*103.25</f>
        <v>542805.5</v>
      </c>
      <c r="L235" s="191">
        <v>857500</v>
      </c>
      <c r="M235" s="191">
        <v>1533600</v>
      </c>
      <c r="N235" s="198">
        <f aca="true" t="shared" si="51" ref="N235:N241">J235+K235-L235-M235</f>
        <v>-990700</v>
      </c>
      <c r="O235" s="167">
        <v>1533600</v>
      </c>
    </row>
    <row r="236" spans="1:14" s="180" customFormat="1" ht="45" customHeight="1">
      <c r="A236" s="263"/>
      <c r="B236" s="244" t="s">
        <v>57</v>
      </c>
      <c r="C236" s="245">
        <f>SUM(C235)</f>
        <v>0</v>
      </c>
      <c r="D236" s="245">
        <f aca="true" t="shared" si="52" ref="D236:N236">SUM(D235)</f>
        <v>13563.19612590799</v>
      </c>
      <c r="E236" s="245">
        <f t="shared" si="52"/>
        <v>0</v>
      </c>
      <c r="F236" s="245">
        <f t="shared" si="52"/>
        <v>8306</v>
      </c>
      <c r="G236" s="245">
        <f t="shared" si="52"/>
        <v>0</v>
      </c>
      <c r="H236" s="245">
        <f t="shared" si="52"/>
        <v>5257.196125907991</v>
      </c>
      <c r="I236" s="245">
        <f t="shared" si="52"/>
        <v>13563.19612590799</v>
      </c>
      <c r="J236" s="245">
        <f t="shared" si="52"/>
        <v>857594.5</v>
      </c>
      <c r="K236" s="245">
        <f t="shared" si="52"/>
        <v>542805.5</v>
      </c>
      <c r="L236" s="245">
        <f t="shared" si="52"/>
        <v>857500</v>
      </c>
      <c r="M236" s="245">
        <f t="shared" si="52"/>
        <v>1533600</v>
      </c>
      <c r="N236" s="245">
        <f t="shared" si="52"/>
        <v>-990700</v>
      </c>
    </row>
    <row r="237" spans="1:14" s="188" customFormat="1" ht="45" customHeight="1">
      <c r="A237" s="181">
        <v>9</v>
      </c>
      <c r="B237" s="182" t="s">
        <v>20</v>
      </c>
      <c r="C237" s="183"/>
      <c r="D237" s="184"/>
      <c r="E237" s="185"/>
      <c r="F237" s="183"/>
      <c r="G237" s="183"/>
      <c r="H237" s="183"/>
      <c r="I237" s="184"/>
      <c r="J237" s="185"/>
      <c r="K237" s="186"/>
      <c r="L237" s="183"/>
      <c r="M237" s="187"/>
      <c r="N237" s="184"/>
    </row>
    <row r="238" spans="1:15" ht="45" customHeight="1">
      <c r="A238" s="212">
        <v>9.1</v>
      </c>
      <c r="B238" s="278" t="s">
        <v>417</v>
      </c>
      <c r="C238" s="202">
        <f>14463699/103.25</f>
        <v>140084.25181598062</v>
      </c>
      <c r="D238" s="203">
        <v>0</v>
      </c>
      <c r="E238" s="204">
        <v>39248.31</v>
      </c>
      <c r="F238" s="205">
        <v>0</v>
      </c>
      <c r="G238" s="205">
        <v>40000</v>
      </c>
      <c r="H238" s="205">
        <f>+I238-E238-G238</f>
        <v>60835.94181598062</v>
      </c>
      <c r="I238" s="195">
        <f>C238+D238</f>
        <v>140084.25181598062</v>
      </c>
      <c r="J238" s="208">
        <f>(+E238+F238)*103.25</f>
        <v>4052388.0075</v>
      </c>
      <c r="K238" s="196">
        <f>(G238+H238)*103.25</f>
        <v>10411310.9925</v>
      </c>
      <c r="L238" s="191">
        <v>4052388</v>
      </c>
      <c r="M238" s="191">
        <v>1381952</v>
      </c>
      <c r="N238" s="198">
        <f t="shared" si="51"/>
        <v>9029359</v>
      </c>
      <c r="O238" s="167">
        <v>1381952</v>
      </c>
    </row>
    <row r="239" spans="1:14" ht="45" customHeight="1">
      <c r="A239" s="212" t="s">
        <v>355</v>
      </c>
      <c r="B239" s="278" t="s">
        <v>418</v>
      </c>
      <c r="C239" s="202">
        <f>426504/103.25</f>
        <v>4130.789346246974</v>
      </c>
      <c r="D239" s="203">
        <f>851323/103.25</f>
        <v>8245.259079903148</v>
      </c>
      <c r="E239" s="204">
        <v>0</v>
      </c>
      <c r="F239" s="205">
        <v>4131</v>
      </c>
      <c r="G239" s="205">
        <v>0</v>
      </c>
      <c r="H239" s="205">
        <v>8245</v>
      </c>
      <c r="I239" s="195">
        <f>C239+D239</f>
        <v>12376.048426150122</v>
      </c>
      <c r="J239" s="208">
        <f>(+E239+F239)*103.25</f>
        <v>426525.75</v>
      </c>
      <c r="K239" s="196">
        <f>(G239+H239)*103.25</f>
        <v>851296.25</v>
      </c>
      <c r="L239" s="191">
        <v>0</v>
      </c>
      <c r="M239" s="197">
        <v>1266153</v>
      </c>
      <c r="N239" s="198">
        <f t="shared" si="51"/>
        <v>11669</v>
      </c>
    </row>
    <row r="240" spans="1:14" ht="45" customHeight="1">
      <c r="A240" s="212" t="s">
        <v>356</v>
      </c>
      <c r="B240" s="278" t="s">
        <v>419</v>
      </c>
      <c r="C240" s="202">
        <f>12481/103.25</f>
        <v>120.88135593220339</v>
      </c>
      <c r="D240" s="203">
        <v>0</v>
      </c>
      <c r="E240" s="204">
        <v>0</v>
      </c>
      <c r="F240" s="205">
        <v>121</v>
      </c>
      <c r="G240" s="205">
        <v>0</v>
      </c>
      <c r="H240" s="205">
        <v>0</v>
      </c>
      <c r="I240" s="195">
        <f>C240+D240</f>
        <v>120.88135593220339</v>
      </c>
      <c r="J240" s="208">
        <f>(+E240+F240)*103.25</f>
        <v>12493.25</v>
      </c>
      <c r="K240" s="196">
        <f>(G240+H240)*103.25</f>
        <v>0</v>
      </c>
      <c r="L240" s="191">
        <v>0</v>
      </c>
      <c r="M240" s="197"/>
      <c r="N240" s="198">
        <f t="shared" si="51"/>
        <v>12493.25</v>
      </c>
    </row>
    <row r="241" spans="1:15" ht="45" customHeight="1">
      <c r="A241" s="212"/>
      <c r="B241" s="278" t="s">
        <v>445</v>
      </c>
      <c r="C241" s="202"/>
      <c r="D241" s="203"/>
      <c r="E241" s="204"/>
      <c r="F241" s="205"/>
      <c r="G241" s="205"/>
      <c r="H241" s="205"/>
      <c r="I241" s="195"/>
      <c r="J241" s="208">
        <f>(+E241+F241)*103.25</f>
        <v>0</v>
      </c>
      <c r="K241" s="196">
        <f>(G241+H241)*103.25</f>
        <v>0</v>
      </c>
      <c r="L241" s="196"/>
      <c r="M241" s="310">
        <v>303845</v>
      </c>
      <c r="N241" s="198">
        <f t="shared" si="51"/>
        <v>-303845</v>
      </c>
      <c r="O241" s="167">
        <v>303845</v>
      </c>
    </row>
    <row r="242" spans="1:14" ht="45" customHeight="1">
      <c r="A242" s="263"/>
      <c r="B242" s="244" t="s">
        <v>57</v>
      </c>
      <c r="C242" s="245">
        <f>SUM(C238:C240)</f>
        <v>144335.92251815982</v>
      </c>
      <c r="D242" s="246">
        <f aca="true" t="shared" si="53" ref="D242:N242">SUM(D238:D240)</f>
        <v>8245.259079903148</v>
      </c>
      <c r="E242" s="247">
        <f t="shared" si="53"/>
        <v>39248.31</v>
      </c>
      <c r="F242" s="245">
        <f t="shared" si="53"/>
        <v>4252</v>
      </c>
      <c r="G242" s="245">
        <f t="shared" si="53"/>
        <v>40000</v>
      </c>
      <c r="H242" s="245">
        <f t="shared" si="53"/>
        <v>69080.94181598062</v>
      </c>
      <c r="I242" s="246">
        <f t="shared" si="53"/>
        <v>152581.18159806295</v>
      </c>
      <c r="J242" s="247">
        <f t="shared" si="53"/>
        <v>4491407.0075</v>
      </c>
      <c r="K242" s="247">
        <f t="shared" si="53"/>
        <v>11262607.2425</v>
      </c>
      <c r="L242" s="247">
        <f t="shared" si="53"/>
        <v>4052388</v>
      </c>
      <c r="M242" s="247">
        <f t="shared" si="53"/>
        <v>2648105</v>
      </c>
      <c r="N242" s="247">
        <f t="shared" si="53"/>
        <v>9053521.25</v>
      </c>
    </row>
    <row r="243" spans="1:14" ht="45" customHeight="1">
      <c r="A243" s="279"/>
      <c r="B243" s="280" t="s">
        <v>357</v>
      </c>
      <c r="C243" s="281">
        <f>+C233+C236+C242</f>
        <v>776337.9273607748</v>
      </c>
      <c r="D243" s="282">
        <f aca="true" t="shared" si="54" ref="D243:N243">+D233+D236+D242</f>
        <v>1287053.4552058112</v>
      </c>
      <c r="E243" s="283">
        <f t="shared" si="54"/>
        <v>369085.31</v>
      </c>
      <c r="F243" s="281">
        <f t="shared" si="54"/>
        <v>766951</v>
      </c>
      <c r="G243" s="281">
        <f t="shared" si="54"/>
        <v>721472</v>
      </c>
      <c r="H243" s="281">
        <f t="shared" si="54"/>
        <v>235883.13794188862</v>
      </c>
      <c r="I243" s="282">
        <f t="shared" si="54"/>
        <v>2063391.382566586</v>
      </c>
      <c r="J243" s="283">
        <f t="shared" si="54"/>
        <v>117295749.0075</v>
      </c>
      <c r="K243" s="283">
        <f t="shared" si="54"/>
        <v>98846917.9925</v>
      </c>
      <c r="L243" s="283">
        <f t="shared" si="54"/>
        <v>34556680</v>
      </c>
      <c r="M243" s="283">
        <f t="shared" si="54"/>
        <v>54734391</v>
      </c>
      <c r="N243" s="283">
        <f t="shared" si="54"/>
        <v>126851596</v>
      </c>
    </row>
    <row r="244" spans="1:14" s="180" customFormat="1" ht="45" customHeight="1" thickBot="1">
      <c r="A244" s="284"/>
      <c r="B244" s="285" t="s">
        <v>358</v>
      </c>
      <c r="C244" s="286">
        <v>82738181</v>
      </c>
      <c r="D244" s="287"/>
      <c r="E244" s="288"/>
      <c r="F244" s="286"/>
      <c r="G244" s="286"/>
      <c r="H244" s="286"/>
      <c r="I244" s="287"/>
      <c r="J244" s="289"/>
      <c r="K244" s="290"/>
      <c r="L244" s="290"/>
      <c r="M244" s="291"/>
      <c r="N244" s="292"/>
    </row>
    <row r="245" spans="1:14" s="180" customFormat="1" ht="45" customHeight="1">
      <c r="A245" s="312"/>
      <c r="B245" s="313"/>
      <c r="C245" s="295"/>
      <c r="D245" s="295"/>
      <c r="E245" s="295"/>
      <c r="F245" s="295"/>
      <c r="G245" s="295"/>
      <c r="H245" s="295"/>
      <c r="I245" s="295"/>
      <c r="J245" s="314"/>
      <c r="K245" s="314"/>
      <c r="L245" s="314"/>
      <c r="M245" s="314"/>
      <c r="N245" s="315"/>
    </row>
    <row r="246" spans="2:5" s="24" customFormat="1" ht="52.5" customHeight="1">
      <c r="B246" s="23"/>
      <c r="C246" s="63"/>
      <c r="D246" s="61"/>
      <c r="E246" s="61"/>
    </row>
    <row r="247" spans="2:5" s="24" customFormat="1" ht="24.75" customHeight="1">
      <c r="B247" s="23"/>
      <c r="C247" s="63" t="s">
        <v>446</v>
      </c>
      <c r="D247" s="62"/>
      <c r="E247" s="62"/>
    </row>
    <row r="248" spans="2:5" s="24" customFormat="1" ht="24.75" customHeight="1">
      <c r="B248" s="23"/>
      <c r="C248" s="65" t="s">
        <v>27</v>
      </c>
      <c r="D248" s="62"/>
      <c r="E248" s="62"/>
    </row>
    <row r="249" spans="2:5" s="24" customFormat="1" ht="54.75" customHeight="1">
      <c r="B249" s="23"/>
      <c r="C249" s="63"/>
      <c r="D249" s="62"/>
      <c r="E249" s="62"/>
    </row>
    <row r="250" spans="2:5" s="24" customFormat="1" ht="24.75" customHeight="1">
      <c r="B250" s="23"/>
      <c r="C250" s="63" t="s">
        <v>28</v>
      </c>
      <c r="D250" s="62"/>
      <c r="E250" s="62"/>
    </row>
    <row r="251" spans="2:5" s="24" customFormat="1" ht="24.75" customHeight="1">
      <c r="B251" s="23"/>
      <c r="C251" s="65" t="s">
        <v>449</v>
      </c>
      <c r="D251" s="62"/>
      <c r="E251" s="62"/>
    </row>
    <row r="252" ht="64.5" customHeight="1">
      <c r="C252" s="63"/>
    </row>
    <row r="253" ht="20.25" customHeight="1">
      <c r="C253" s="63" t="s">
        <v>29</v>
      </c>
    </row>
    <row r="254" ht="20.25" customHeight="1">
      <c r="C254" s="65" t="s">
        <v>30</v>
      </c>
    </row>
    <row r="255" ht="20.25" customHeight="1">
      <c r="F255" s="294">
        <v>8</v>
      </c>
    </row>
  </sheetData>
  <sheetProtection/>
  <mergeCells count="10">
    <mergeCell ref="A1:N1"/>
    <mergeCell ref="A2:N2"/>
    <mergeCell ref="A3:N3"/>
    <mergeCell ref="A4:A6"/>
    <mergeCell ref="B4:B6"/>
    <mergeCell ref="C4:C6"/>
    <mergeCell ref="D4:D6"/>
    <mergeCell ref="E4:I4"/>
    <mergeCell ref="I5:I6"/>
    <mergeCell ref="J5:N5"/>
  </mergeCells>
  <printOptions/>
  <pageMargins left="0.5118110236220472" right="0.1968503937007874" top="0.7480314960629921" bottom="0.2362204724409449" header="0.31496062992125984" footer="0.31496062992125984"/>
  <pageSetup horizontalDpi="600" verticalDpi="600" orientation="landscape" scale="37" r:id="rId2"/>
  <rowBreaks count="6" manualBreakCount="6">
    <brk id="34" max="13" man="1"/>
    <brk id="74" max="13" man="1"/>
    <brk id="107" max="13" man="1"/>
    <brk id="147" max="13" man="1"/>
    <brk id="187" max="13" man="1"/>
    <brk id="222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3"/>
  <sheetViews>
    <sheetView zoomScalePageLayoutView="0" workbookViewId="0" topLeftCell="A250">
      <selection activeCell="B268" sqref="B268"/>
    </sheetView>
  </sheetViews>
  <sheetFormatPr defaultColWidth="9.140625" defaultRowHeight="24.75" customHeight="1"/>
  <cols>
    <col min="1" max="1" width="12.421875" style="162" customWidth="1"/>
    <col min="2" max="2" width="40.421875" style="166" customWidth="1"/>
    <col min="3" max="3" width="19.28125" style="164" customWidth="1"/>
    <col min="4" max="4" width="19.7109375" style="164" bestFit="1" customWidth="1"/>
    <col min="5" max="5" width="18.7109375" style="165" bestFit="1" customWidth="1"/>
    <col min="6" max="6" width="18.28125" style="165" bestFit="1" customWidth="1"/>
    <col min="7" max="7" width="19.7109375" style="165" customWidth="1"/>
    <col min="8" max="8" width="20.7109375" style="165" bestFit="1" customWidth="1"/>
    <col min="9" max="9" width="26.00390625" style="101" customWidth="1"/>
    <col min="10" max="10" width="11.7109375" style="101" bestFit="1" customWidth="1"/>
    <col min="11" max="11" width="10.140625" style="101" bestFit="1" customWidth="1"/>
    <col min="12" max="12" width="16.421875" style="101" bestFit="1" customWidth="1"/>
    <col min="13" max="13" width="19.00390625" style="101" bestFit="1" customWidth="1"/>
    <col min="14" max="16384" width="9.140625" style="101" customWidth="1"/>
  </cols>
  <sheetData>
    <row r="1" spans="1:11" s="69" customFormat="1" ht="24.75" customHeight="1">
      <c r="A1" s="398" t="s">
        <v>0</v>
      </c>
      <c r="B1" s="399"/>
      <c r="C1" s="399"/>
      <c r="D1" s="399"/>
      <c r="E1" s="399"/>
      <c r="F1" s="399"/>
      <c r="G1" s="399"/>
      <c r="H1" s="399"/>
      <c r="I1" s="399"/>
      <c r="J1" s="399"/>
      <c r="K1" s="400"/>
    </row>
    <row r="2" spans="1:11" s="69" customFormat="1" ht="24.75" customHeight="1">
      <c r="A2" s="401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3"/>
    </row>
    <row r="3" spans="1:11" s="69" customFormat="1" ht="24.75" customHeight="1">
      <c r="A3" s="401" t="s">
        <v>359</v>
      </c>
      <c r="B3" s="402"/>
      <c r="C3" s="402"/>
      <c r="D3" s="402"/>
      <c r="E3" s="402"/>
      <c r="F3" s="402"/>
      <c r="G3" s="402"/>
      <c r="H3" s="402"/>
      <c r="I3" s="402"/>
      <c r="J3" s="402"/>
      <c r="K3" s="403"/>
    </row>
    <row r="4" spans="1:11" s="69" customFormat="1" ht="24.75" customHeight="1">
      <c r="A4" s="404" t="s">
        <v>451</v>
      </c>
      <c r="B4" s="405"/>
      <c r="C4" s="405"/>
      <c r="D4" s="405"/>
      <c r="E4" s="405"/>
      <c r="F4" s="405"/>
      <c r="G4" s="405"/>
      <c r="H4" s="405"/>
      <c r="I4" s="405"/>
      <c r="J4" s="405"/>
      <c r="K4" s="406"/>
    </row>
    <row r="5" spans="1:11" s="75" customFormat="1" ht="37.5" customHeight="1">
      <c r="A5" s="70"/>
      <c r="B5" s="71"/>
      <c r="C5" s="407" t="s">
        <v>360</v>
      </c>
      <c r="D5" s="407"/>
      <c r="E5" s="408"/>
      <c r="F5" s="409" t="s">
        <v>361</v>
      </c>
      <c r="G5" s="410"/>
      <c r="H5" s="411"/>
      <c r="I5" s="72"/>
      <c r="J5" s="73"/>
      <c r="K5" s="74"/>
    </row>
    <row r="6" spans="1:11" s="75" customFormat="1" ht="56.25" customHeight="1">
      <c r="A6" s="76"/>
      <c r="B6" s="77"/>
      <c r="C6" s="78" t="s">
        <v>362</v>
      </c>
      <c r="D6" s="78" t="s">
        <v>363</v>
      </c>
      <c r="E6" s="79" t="s">
        <v>364</v>
      </c>
      <c r="F6" s="80" t="s">
        <v>362</v>
      </c>
      <c r="G6" s="78" t="s">
        <v>363</v>
      </c>
      <c r="H6" s="81" t="s">
        <v>364</v>
      </c>
      <c r="I6" s="82" t="s">
        <v>365</v>
      </c>
      <c r="J6" s="83" t="s">
        <v>366</v>
      </c>
      <c r="K6" s="84" t="s">
        <v>367</v>
      </c>
    </row>
    <row r="7" spans="1:11" s="75" customFormat="1" ht="37.5" customHeight="1">
      <c r="A7" s="85"/>
      <c r="B7" s="86"/>
      <c r="C7" s="87" t="s">
        <v>7</v>
      </c>
      <c r="D7" s="87" t="s">
        <v>7</v>
      </c>
      <c r="E7" s="88" t="s">
        <v>7</v>
      </c>
      <c r="F7" s="89" t="s">
        <v>7</v>
      </c>
      <c r="G7" s="87" t="s">
        <v>7</v>
      </c>
      <c r="H7" s="88" t="s">
        <v>7</v>
      </c>
      <c r="I7" s="90"/>
      <c r="J7" s="91"/>
      <c r="K7" s="92"/>
    </row>
    <row r="8" spans="1:12" ht="37.5" customHeight="1">
      <c r="A8" s="93" t="s">
        <v>46</v>
      </c>
      <c r="B8" s="94" t="s">
        <v>47</v>
      </c>
      <c r="C8" s="95">
        <f aca="true" t="shared" si="0" ref="C8:H8">C45</f>
        <v>11512765</v>
      </c>
      <c r="D8" s="95">
        <f t="shared" si="0"/>
        <v>18092807.25</v>
      </c>
      <c r="E8" s="95">
        <f t="shared" si="0"/>
        <v>6580042.25</v>
      </c>
      <c r="F8" s="95">
        <f t="shared" si="0"/>
        <v>22172367</v>
      </c>
      <c r="G8" s="95">
        <f t="shared" si="0"/>
        <v>25124132.25</v>
      </c>
      <c r="H8" s="95">
        <f t="shared" si="0"/>
        <v>2951765.25</v>
      </c>
      <c r="I8" s="97"/>
      <c r="J8" s="98"/>
      <c r="K8" s="99"/>
      <c r="L8" s="100"/>
    </row>
    <row r="9" spans="1:11" ht="37.5" customHeight="1">
      <c r="A9" s="93" t="s">
        <v>84</v>
      </c>
      <c r="B9" s="94" t="s">
        <v>85</v>
      </c>
      <c r="C9" s="95">
        <f aca="true" t="shared" si="1" ref="C9:H9">C90</f>
        <v>3403235</v>
      </c>
      <c r="D9" s="95">
        <f t="shared" si="1"/>
        <v>23573523.75</v>
      </c>
      <c r="E9" s="95">
        <f t="shared" si="1"/>
        <v>20170288.75</v>
      </c>
      <c r="F9" s="95">
        <f t="shared" si="1"/>
        <v>25386497</v>
      </c>
      <c r="G9" s="95">
        <f t="shared" si="1"/>
        <v>39955891.5</v>
      </c>
      <c r="H9" s="95">
        <f t="shared" si="1"/>
        <v>16221394.5</v>
      </c>
      <c r="I9" s="97"/>
      <c r="J9" s="98"/>
      <c r="K9" s="102"/>
    </row>
    <row r="10" spans="1:11" ht="37.5" customHeight="1">
      <c r="A10" s="93">
        <v>3</v>
      </c>
      <c r="B10" s="94" t="s">
        <v>139</v>
      </c>
      <c r="C10" s="95">
        <f>C118</f>
        <v>617700</v>
      </c>
      <c r="D10" s="95">
        <f>D118</f>
        <v>5394812.5</v>
      </c>
      <c r="E10" s="95">
        <f>E118</f>
        <v>4777112.5</v>
      </c>
      <c r="F10" s="95">
        <f>F118</f>
        <v>1894724</v>
      </c>
      <c r="G10" s="95">
        <f>G118</f>
        <v>10376625</v>
      </c>
      <c r="H10" s="95">
        <f>H118</f>
        <v>8481901</v>
      </c>
      <c r="I10" s="97"/>
      <c r="J10" s="98"/>
      <c r="K10" s="102"/>
    </row>
    <row r="11" spans="1:11" ht="37.5" customHeight="1">
      <c r="A11" s="93">
        <v>4</v>
      </c>
      <c r="B11" s="94" t="s">
        <v>139</v>
      </c>
      <c r="C11" s="95">
        <f>C233</f>
        <v>14113092</v>
      </c>
      <c r="D11" s="95">
        <f>D233</f>
        <v>64885604</v>
      </c>
      <c r="E11" s="95">
        <f>E233</f>
        <v>50772512</v>
      </c>
      <c r="F11" s="95">
        <f>F233</f>
        <v>30745890</v>
      </c>
      <c r="G11" s="95">
        <f>G233</f>
        <v>121776354</v>
      </c>
      <c r="H11" s="95">
        <f>H233</f>
        <v>91030464</v>
      </c>
      <c r="I11" s="97"/>
      <c r="J11" s="98"/>
      <c r="K11" s="102"/>
    </row>
    <row r="12" spans="1:11" ht="37.5" customHeight="1">
      <c r="A12" s="93">
        <v>6</v>
      </c>
      <c r="B12" s="94" t="s">
        <v>340</v>
      </c>
      <c r="C12" s="95">
        <f>C239</f>
        <v>0</v>
      </c>
      <c r="D12" s="95">
        <f>D239</f>
        <v>0</v>
      </c>
      <c r="E12" s="95">
        <f>E239</f>
        <v>0</v>
      </c>
      <c r="F12" s="95">
        <f>F239</f>
        <v>0</v>
      </c>
      <c r="G12" s="95">
        <f>G239</f>
        <v>51625</v>
      </c>
      <c r="H12" s="95">
        <f>H239</f>
        <v>51625</v>
      </c>
      <c r="I12" s="97"/>
      <c r="J12" s="98"/>
      <c r="K12" s="102"/>
    </row>
    <row r="13" spans="1:11" ht="37.5" customHeight="1">
      <c r="A13" s="93">
        <v>7</v>
      </c>
      <c r="B13" s="94" t="s">
        <v>349</v>
      </c>
      <c r="C13" s="95">
        <f>C243</f>
        <v>0</v>
      </c>
      <c r="D13" s="95">
        <f>D243</f>
        <v>0</v>
      </c>
      <c r="E13" s="95">
        <f>E243</f>
        <v>0</v>
      </c>
      <c r="F13" s="95">
        <f>F243</f>
        <v>0</v>
      </c>
      <c r="G13" s="95">
        <f>G243</f>
        <v>51625</v>
      </c>
      <c r="H13" s="95">
        <f>H243</f>
        <v>51625</v>
      </c>
      <c r="I13" s="97"/>
      <c r="J13" s="98"/>
      <c r="K13" s="102"/>
    </row>
    <row r="14" spans="1:11" ht="37.5" customHeight="1">
      <c r="A14" s="93">
        <v>8</v>
      </c>
      <c r="B14" s="94" t="s">
        <v>19</v>
      </c>
      <c r="C14" s="95">
        <f>C247</f>
        <v>857500</v>
      </c>
      <c r="D14" s="95">
        <f>D247</f>
        <v>542805.5</v>
      </c>
      <c r="E14" s="95">
        <f>E247</f>
        <v>-314694.5</v>
      </c>
      <c r="F14" s="95">
        <f>F247</f>
        <v>2391100</v>
      </c>
      <c r="G14" s="95">
        <f>G247</f>
        <v>1400400</v>
      </c>
      <c r="H14" s="95">
        <f>H247</f>
        <v>-990700</v>
      </c>
      <c r="I14" s="97"/>
      <c r="J14" s="98"/>
      <c r="K14" s="102"/>
    </row>
    <row r="15" spans="1:11" ht="37.5" customHeight="1">
      <c r="A15" s="93">
        <v>9</v>
      </c>
      <c r="B15" s="94" t="s">
        <v>20</v>
      </c>
      <c r="C15" s="303">
        <f>C252</f>
        <v>4052388</v>
      </c>
      <c r="D15" s="303">
        <f>D252</f>
        <v>11262607.2425</v>
      </c>
      <c r="E15" s="303">
        <f>E252</f>
        <v>7210219.2425</v>
      </c>
      <c r="F15" s="303">
        <f>F252</f>
        <v>6700493</v>
      </c>
      <c r="G15" s="303">
        <f>G252</f>
        <v>15754014.25</v>
      </c>
      <c r="H15" s="303">
        <f>H252</f>
        <v>9053521.25</v>
      </c>
      <c r="I15" s="97"/>
      <c r="J15" s="98"/>
      <c r="K15" s="102"/>
    </row>
    <row r="16" spans="1:13" s="75" customFormat="1" ht="37.5" customHeight="1">
      <c r="A16" s="76"/>
      <c r="B16" s="77" t="s">
        <v>368</v>
      </c>
      <c r="C16" s="103">
        <f>SUM(C8:C15)</f>
        <v>34556680</v>
      </c>
      <c r="D16" s="103">
        <f>SUM(D8:D15)</f>
        <v>123752160.2425</v>
      </c>
      <c r="E16" s="103">
        <f>SUM(E8:E15)</f>
        <v>89195480.2425</v>
      </c>
      <c r="F16" s="103">
        <f>SUM(F8:F15)</f>
        <v>89291071</v>
      </c>
      <c r="G16" s="103">
        <f>SUM(G8:G15)</f>
        <v>214490667</v>
      </c>
      <c r="H16" s="103">
        <f>SUM(H8:H15)</f>
        <v>126851596</v>
      </c>
      <c r="I16" s="82"/>
      <c r="J16" s="104"/>
      <c r="K16" s="84"/>
      <c r="L16" s="300"/>
      <c r="M16" s="300"/>
    </row>
    <row r="17" spans="1:11" s="75" customFormat="1" ht="37.5" customHeight="1">
      <c r="A17" s="105"/>
      <c r="B17" s="106"/>
      <c r="C17" s="107"/>
      <c r="D17" s="107"/>
      <c r="E17" s="108"/>
      <c r="F17" s="109"/>
      <c r="G17" s="107"/>
      <c r="H17" s="108"/>
      <c r="I17" s="110"/>
      <c r="J17" s="111"/>
      <c r="K17" s="112"/>
    </row>
    <row r="18" spans="1:11" ht="49.5" customHeight="1">
      <c r="A18" s="113" t="s">
        <v>46</v>
      </c>
      <c r="B18" s="114" t="s">
        <v>47</v>
      </c>
      <c r="C18" s="115"/>
      <c r="D18" s="115"/>
      <c r="E18" s="116"/>
      <c r="F18" s="117"/>
      <c r="G18" s="115"/>
      <c r="H18" s="116"/>
      <c r="I18" s="118"/>
      <c r="J18" s="119"/>
      <c r="K18" s="120"/>
    </row>
    <row r="19" spans="1:11" ht="49.5" customHeight="1">
      <c r="A19" s="113">
        <v>1.5</v>
      </c>
      <c r="B19" s="114" t="s">
        <v>48</v>
      </c>
      <c r="C19" s="115"/>
      <c r="D19" s="115"/>
      <c r="E19" s="116"/>
      <c r="F19" s="117"/>
      <c r="G19" s="115"/>
      <c r="H19" s="121"/>
      <c r="I19" s="118"/>
      <c r="J19" s="119"/>
      <c r="K19" s="120"/>
    </row>
    <row r="20" spans="1:11" ht="51" customHeight="1">
      <c r="A20" s="122" t="s">
        <v>49</v>
      </c>
      <c r="B20" s="123" t="s">
        <v>50</v>
      </c>
      <c r="C20" s="124">
        <f>Activities!L9</f>
        <v>6919787</v>
      </c>
      <c r="D20" s="124">
        <f>Activities!J9</f>
        <v>7009436</v>
      </c>
      <c r="E20" s="116">
        <f>+D20-C20</f>
        <v>89649</v>
      </c>
      <c r="F20" s="124">
        <f>Activities!L9+Activities!M9</f>
        <v>6994705</v>
      </c>
      <c r="G20" s="115">
        <f>Activities!J9+Activities!K9</f>
        <v>7009436</v>
      </c>
      <c r="H20" s="96">
        <f>G20-F20</f>
        <v>14731</v>
      </c>
      <c r="I20" s="118" t="s">
        <v>427</v>
      </c>
      <c r="J20" s="119"/>
      <c r="K20" s="120"/>
    </row>
    <row r="21" spans="1:11" ht="47.25" customHeight="1">
      <c r="A21" s="125" t="s">
        <v>51</v>
      </c>
      <c r="B21" s="126" t="s">
        <v>52</v>
      </c>
      <c r="C21" s="124">
        <f>Activities!L10</f>
        <v>0</v>
      </c>
      <c r="D21" s="124">
        <f>Activities!J10</f>
        <v>1548750</v>
      </c>
      <c r="E21" s="116">
        <f>+D21-C21</f>
        <v>1548750</v>
      </c>
      <c r="F21" s="124">
        <f>Activities!L10+Activities!M10</f>
        <v>1818120</v>
      </c>
      <c r="G21" s="115">
        <f>Activities!J10+Activities!K10</f>
        <v>2065000</v>
      </c>
      <c r="H21" s="96">
        <f>G21-F21</f>
        <v>246880</v>
      </c>
      <c r="I21" s="118" t="s">
        <v>427</v>
      </c>
      <c r="J21" s="119"/>
      <c r="K21" s="120"/>
    </row>
    <row r="22" spans="1:11" ht="51.75" customHeight="1">
      <c r="A22" s="122" t="s">
        <v>53</v>
      </c>
      <c r="B22" s="123" t="s">
        <v>54</v>
      </c>
      <c r="C22" s="124">
        <f>Activities!L11</f>
        <v>2267400</v>
      </c>
      <c r="D22" s="124">
        <f>Activities!J11</f>
        <v>2411507</v>
      </c>
      <c r="E22" s="116">
        <f>+D22-C22</f>
        <v>144107</v>
      </c>
      <c r="F22" s="124">
        <f>Activities!L11+Activities!M11</f>
        <v>2267400</v>
      </c>
      <c r="G22" s="115">
        <f>Activities!J11+Activities!K11</f>
        <v>2411507</v>
      </c>
      <c r="H22" s="96">
        <f>G22-F22</f>
        <v>144107</v>
      </c>
      <c r="I22" s="118" t="s">
        <v>427</v>
      </c>
      <c r="J22" s="119"/>
      <c r="K22" s="120"/>
    </row>
    <row r="23" spans="1:11" ht="48" customHeight="1">
      <c r="A23" s="125" t="s">
        <v>55</v>
      </c>
      <c r="B23" s="126" t="s">
        <v>56</v>
      </c>
      <c r="C23" s="124">
        <f>Activities!L12</f>
        <v>0</v>
      </c>
      <c r="D23" s="124">
        <f>Activities!J12</f>
        <v>516250</v>
      </c>
      <c r="E23" s="116">
        <f>+D23-C23</f>
        <v>516250</v>
      </c>
      <c r="F23" s="124">
        <f>Activities!L12+Activities!M12</f>
        <v>0</v>
      </c>
      <c r="G23" s="115">
        <f>Activities!J12+Activities!K12</f>
        <v>516250</v>
      </c>
      <c r="H23" s="96">
        <f>G23-F23</f>
        <v>516250</v>
      </c>
      <c r="I23" s="118" t="s">
        <v>427</v>
      </c>
      <c r="J23" s="119"/>
      <c r="K23" s="120"/>
    </row>
    <row r="24" spans="1:11" ht="37.5" customHeight="1">
      <c r="A24" s="127"/>
      <c r="B24" s="114" t="s">
        <v>57</v>
      </c>
      <c r="C24" s="128">
        <f>SUM(C20:C23)</f>
        <v>9187187</v>
      </c>
      <c r="D24" s="128">
        <f>SUM(D20:D23)</f>
        <v>11485943</v>
      </c>
      <c r="E24" s="128">
        <f>SUM(E20:E23)</f>
        <v>2298756</v>
      </c>
      <c r="F24" s="128">
        <f>SUM(F20:F23)</f>
        <v>11080225</v>
      </c>
      <c r="G24" s="128">
        <f>SUM(G20:G23)</f>
        <v>12002193</v>
      </c>
      <c r="H24" s="128">
        <f>SUM(H20:H23)</f>
        <v>921968</v>
      </c>
      <c r="I24" s="118"/>
      <c r="J24" s="119"/>
      <c r="K24" s="120"/>
    </row>
    <row r="25" spans="1:11" ht="45" customHeight="1">
      <c r="A25" s="113" t="s">
        <v>58</v>
      </c>
      <c r="B25" s="114" t="s">
        <v>59</v>
      </c>
      <c r="C25" s="115"/>
      <c r="D25" s="115"/>
      <c r="E25" s="116">
        <f>+D25-C25</f>
        <v>0</v>
      </c>
      <c r="F25" s="117">
        <v>0</v>
      </c>
      <c r="G25" s="115"/>
      <c r="H25" s="121">
        <v>0</v>
      </c>
      <c r="I25" s="118"/>
      <c r="J25" s="119"/>
      <c r="K25" s="120"/>
    </row>
    <row r="26" spans="1:11" ht="45" customHeight="1">
      <c r="A26" s="93" t="s">
        <v>60</v>
      </c>
      <c r="B26" s="129" t="s">
        <v>61</v>
      </c>
      <c r="C26" s="124">
        <f>Activities!L15</f>
        <v>1103600</v>
      </c>
      <c r="D26" s="124">
        <f>Activities!J15</f>
        <v>1103639.25</v>
      </c>
      <c r="E26" s="116">
        <f>+D26-C26</f>
        <v>39.25</v>
      </c>
      <c r="F26" s="124">
        <f>Activities!L15+Activities!M15</f>
        <v>1103600</v>
      </c>
      <c r="G26" s="115">
        <f>Activities!J15+Activities!K15</f>
        <v>1103639.25</v>
      </c>
      <c r="H26" s="96">
        <f>G26-F26</f>
        <v>39.25</v>
      </c>
      <c r="I26" s="118" t="s">
        <v>447</v>
      </c>
      <c r="J26" s="119"/>
      <c r="K26" s="120"/>
    </row>
    <row r="27" spans="1:11" ht="45" customHeight="1">
      <c r="A27" s="125" t="s">
        <v>62</v>
      </c>
      <c r="B27" s="94" t="s">
        <v>61</v>
      </c>
      <c r="C27" s="124">
        <f>Activities!L16</f>
        <v>0</v>
      </c>
      <c r="D27" s="124">
        <f>Activities!J16</f>
        <v>0</v>
      </c>
      <c r="E27" s="116">
        <f>+D27-C27</f>
        <v>0</v>
      </c>
      <c r="F27" s="124">
        <f>Activities!L16+Activities!M16</f>
        <v>1632209</v>
      </c>
      <c r="G27" s="115">
        <f>Activities!J16+Activities!K16</f>
        <v>1548750</v>
      </c>
      <c r="H27" s="96">
        <f>G27-F27</f>
        <v>-83459</v>
      </c>
      <c r="I27" s="118" t="s">
        <v>447</v>
      </c>
      <c r="J27" s="119"/>
      <c r="K27" s="120"/>
    </row>
    <row r="28" spans="1:11" ht="45" customHeight="1">
      <c r="A28" s="125" t="s">
        <v>63</v>
      </c>
      <c r="B28" s="129" t="s">
        <v>64</v>
      </c>
      <c r="C28" s="124">
        <f>Activities!L17</f>
        <v>255600</v>
      </c>
      <c r="D28" s="124">
        <f>Activities!J17</f>
        <v>309750</v>
      </c>
      <c r="E28" s="116">
        <f>+D28-C28</f>
        <v>54150</v>
      </c>
      <c r="F28" s="124">
        <f>Activities!L17+Activities!M17</f>
        <v>255600</v>
      </c>
      <c r="G28" s="115">
        <f>Activities!J17+Activities!K17</f>
        <v>309750</v>
      </c>
      <c r="H28" s="96">
        <f>G28-F28</f>
        <v>54150</v>
      </c>
      <c r="I28" s="118" t="s">
        <v>427</v>
      </c>
      <c r="J28" s="119"/>
      <c r="K28" s="120"/>
    </row>
    <row r="29" spans="1:11" ht="45" customHeight="1">
      <c r="A29" s="125" t="s">
        <v>65</v>
      </c>
      <c r="B29" s="94" t="s">
        <v>64</v>
      </c>
      <c r="C29" s="124">
        <f>Activities!L18</f>
        <v>0</v>
      </c>
      <c r="D29" s="124">
        <f>Activities!J18</f>
        <v>0</v>
      </c>
      <c r="E29" s="116">
        <f>+D29-C29</f>
        <v>0</v>
      </c>
      <c r="F29" s="124">
        <f>Activities!L18+Activities!M18</f>
        <v>213200</v>
      </c>
      <c r="G29" s="115">
        <f>Activities!J18+Activities!K18</f>
        <v>309750</v>
      </c>
      <c r="H29" s="96">
        <f>G29-F29</f>
        <v>96550</v>
      </c>
      <c r="I29" s="118" t="s">
        <v>427</v>
      </c>
      <c r="J29" s="119"/>
      <c r="K29" s="120"/>
    </row>
    <row r="30" spans="1:11" ht="45" customHeight="1">
      <c r="A30" s="113"/>
      <c r="B30" s="114" t="s">
        <v>57</v>
      </c>
      <c r="C30" s="128">
        <f>SUM(C26:C29)</f>
        <v>1359200</v>
      </c>
      <c r="D30" s="128">
        <f>SUM(D26:D29)</f>
        <v>1413389.25</v>
      </c>
      <c r="E30" s="128">
        <f>SUM(E26:E29)</f>
        <v>54189.25</v>
      </c>
      <c r="F30" s="128">
        <f>SUM(F26:F29)</f>
        <v>3204609</v>
      </c>
      <c r="G30" s="128">
        <f>SUM(G26:G29)</f>
        <v>3271889.25</v>
      </c>
      <c r="H30" s="128">
        <f>SUM(H26:H29)</f>
        <v>67280.25</v>
      </c>
      <c r="I30" s="118"/>
      <c r="J30" s="119"/>
      <c r="K30" s="120"/>
    </row>
    <row r="31" spans="1:11" ht="45" customHeight="1">
      <c r="A31" s="130" t="s">
        <v>66</v>
      </c>
      <c r="B31" s="114" t="s">
        <v>67</v>
      </c>
      <c r="C31" s="115"/>
      <c r="D31" s="115"/>
      <c r="E31" s="116">
        <f>+D31-C31</f>
        <v>0</v>
      </c>
      <c r="F31" s="117"/>
      <c r="G31" s="115"/>
      <c r="H31" s="121"/>
      <c r="I31" s="118"/>
      <c r="J31" s="119"/>
      <c r="K31" s="120"/>
    </row>
    <row r="32" spans="1:11" ht="45" customHeight="1">
      <c r="A32" s="93" t="s">
        <v>68</v>
      </c>
      <c r="B32" s="129" t="s">
        <v>69</v>
      </c>
      <c r="C32" s="124">
        <f>Activities!L21</f>
        <v>14174</v>
      </c>
      <c r="D32" s="124">
        <f>Activities!J21</f>
        <v>15487.5</v>
      </c>
      <c r="E32" s="116">
        <f>+D32-C32</f>
        <v>1313.5</v>
      </c>
      <c r="F32" s="124">
        <f>Activities!L21+Activities!M21</f>
        <v>14174</v>
      </c>
      <c r="G32" s="115">
        <f>Activities!J21+Activities!K21</f>
        <v>15487.5</v>
      </c>
      <c r="H32" s="96">
        <f>G32-F32</f>
        <v>1313.5</v>
      </c>
      <c r="I32" s="118" t="s">
        <v>447</v>
      </c>
      <c r="J32" s="119"/>
      <c r="K32" s="120"/>
    </row>
    <row r="33" spans="1:11" ht="45" customHeight="1">
      <c r="A33" s="93" t="s">
        <v>70</v>
      </c>
      <c r="B33" s="94" t="s">
        <v>69</v>
      </c>
      <c r="C33" s="124">
        <f>Activities!L22</f>
        <v>0</v>
      </c>
      <c r="D33" s="124">
        <f>Activities!J22</f>
        <v>0</v>
      </c>
      <c r="E33" s="116">
        <f>+D33-C33</f>
        <v>0</v>
      </c>
      <c r="F33" s="124">
        <f>Activities!L22+Activities!M22</f>
        <v>9500</v>
      </c>
      <c r="G33" s="115">
        <f>Activities!J22+Activities!K22</f>
        <v>258125</v>
      </c>
      <c r="H33" s="96">
        <f>G33-F33</f>
        <v>248625</v>
      </c>
      <c r="I33" s="118" t="s">
        <v>427</v>
      </c>
      <c r="J33" s="119"/>
      <c r="K33" s="120"/>
    </row>
    <row r="34" spans="1:11" ht="45" customHeight="1">
      <c r="A34" s="93" t="s">
        <v>71</v>
      </c>
      <c r="B34" s="129" t="s">
        <v>72</v>
      </c>
      <c r="C34" s="124">
        <f>Activities!L23</f>
        <v>0</v>
      </c>
      <c r="D34" s="124">
        <f>Activities!J23</f>
        <v>15487.5</v>
      </c>
      <c r="E34" s="116">
        <f>+D34-C34</f>
        <v>15487.5</v>
      </c>
      <c r="F34" s="124">
        <f>Activities!L23+Activities!M23</f>
        <v>0</v>
      </c>
      <c r="G34" s="115">
        <f>Activities!J23+Activities!K23</f>
        <v>25812.5</v>
      </c>
      <c r="H34" s="96">
        <f>G34-F34</f>
        <v>25812.5</v>
      </c>
      <c r="I34" s="118" t="s">
        <v>447</v>
      </c>
      <c r="J34" s="119"/>
      <c r="K34" s="120"/>
    </row>
    <row r="35" spans="1:11" ht="45" customHeight="1">
      <c r="A35" s="93" t="s">
        <v>73</v>
      </c>
      <c r="B35" s="94" t="s">
        <v>72</v>
      </c>
      <c r="C35" s="124">
        <f>Activities!L24</f>
        <v>0</v>
      </c>
      <c r="D35" s="124">
        <f>Activities!J24</f>
        <v>0</v>
      </c>
      <c r="E35" s="116">
        <f>+D35-C35</f>
        <v>0</v>
      </c>
      <c r="F35" s="124">
        <f>Activities!L24+Activities!M24</f>
        <v>0</v>
      </c>
      <c r="G35" s="115">
        <f>Activities!J24+Activities!K24</f>
        <v>258125</v>
      </c>
      <c r="H35" s="96">
        <f>G35-F35</f>
        <v>258125</v>
      </c>
      <c r="I35" s="118" t="s">
        <v>447</v>
      </c>
      <c r="J35" s="119"/>
      <c r="K35" s="120"/>
    </row>
    <row r="36" spans="1:11" ht="45" customHeight="1">
      <c r="A36" s="131"/>
      <c r="B36" s="114" t="s">
        <v>57</v>
      </c>
      <c r="C36" s="128">
        <f>SUM(C32:C35)</f>
        <v>14174</v>
      </c>
      <c r="D36" s="128">
        <f>SUM(D32:D35)</f>
        <v>30975</v>
      </c>
      <c r="E36" s="128">
        <f>SUM(E32:E35)</f>
        <v>16801</v>
      </c>
      <c r="F36" s="128">
        <f>SUM(F32:F35)</f>
        <v>23674</v>
      </c>
      <c r="G36" s="128">
        <f>SUM(G32:G35)</f>
        <v>557550</v>
      </c>
      <c r="H36" s="128">
        <f>SUM(H32:H35)</f>
        <v>533876</v>
      </c>
      <c r="I36" s="118"/>
      <c r="J36" s="119"/>
      <c r="K36" s="120"/>
    </row>
    <row r="37" spans="1:11" ht="45" customHeight="1">
      <c r="A37" s="113">
        <v>1.9</v>
      </c>
      <c r="B37" s="132" t="s">
        <v>74</v>
      </c>
      <c r="C37" s="115"/>
      <c r="D37" s="115"/>
      <c r="E37" s="116">
        <f>+D37-C37</f>
        <v>0</v>
      </c>
      <c r="F37" s="117"/>
      <c r="G37" s="115"/>
      <c r="H37" s="121">
        <v>0</v>
      </c>
      <c r="I37" s="118"/>
      <c r="J37" s="119"/>
      <c r="K37" s="120"/>
    </row>
    <row r="38" spans="1:11" ht="45" customHeight="1">
      <c r="A38" s="93" t="s">
        <v>75</v>
      </c>
      <c r="B38" s="94" t="s">
        <v>76</v>
      </c>
      <c r="C38" s="124">
        <f>Activities!L27</f>
        <v>0</v>
      </c>
      <c r="D38" s="124">
        <f>Activities!J27</f>
        <v>1548750</v>
      </c>
      <c r="E38" s="116">
        <f>+D38-C38</f>
        <v>1548750</v>
      </c>
      <c r="F38" s="124">
        <f>Activities!L27+Activities!M27</f>
        <v>1881400</v>
      </c>
      <c r="G38" s="115">
        <f>Activities!J27+Activities!K27</f>
        <v>1548750</v>
      </c>
      <c r="H38" s="96">
        <f>G38-F38</f>
        <v>-332650</v>
      </c>
      <c r="I38" s="118" t="s">
        <v>447</v>
      </c>
      <c r="J38" s="119"/>
      <c r="K38" s="120"/>
    </row>
    <row r="39" spans="1:11" ht="45" customHeight="1">
      <c r="A39" s="93" t="s">
        <v>77</v>
      </c>
      <c r="B39" s="94" t="s">
        <v>78</v>
      </c>
      <c r="C39" s="124">
        <f>Activities!L28</f>
        <v>0</v>
      </c>
      <c r="D39" s="124">
        <f>Activities!J28</f>
        <v>1032500</v>
      </c>
      <c r="E39" s="116">
        <f>+D39-C39</f>
        <v>1032500</v>
      </c>
      <c r="F39" s="124">
        <f>Activities!L28+Activities!M28</f>
        <v>0</v>
      </c>
      <c r="G39" s="115">
        <f>Activities!J28+Activities!K28</f>
        <v>1032500</v>
      </c>
      <c r="H39" s="96">
        <f>G39-F39</f>
        <v>1032500</v>
      </c>
      <c r="I39" s="118" t="s">
        <v>447</v>
      </c>
      <c r="J39" s="119"/>
      <c r="K39" s="120"/>
    </row>
    <row r="40" spans="1:11" ht="45" customHeight="1">
      <c r="A40" s="113"/>
      <c r="B40" s="114" t="s">
        <v>57</v>
      </c>
      <c r="C40" s="128">
        <f>SUM(C38:C39)</f>
        <v>0</v>
      </c>
      <c r="D40" s="128">
        <f>SUM(D38:D39)</f>
        <v>2581250</v>
      </c>
      <c r="E40" s="128">
        <f>SUM(E38:E39)</f>
        <v>2581250</v>
      </c>
      <c r="F40" s="128">
        <f>SUM(F38:F39)</f>
        <v>1881400</v>
      </c>
      <c r="G40" s="128">
        <f>SUM(G38:G39)</f>
        <v>2581250</v>
      </c>
      <c r="H40" s="128">
        <f>SUM(H38:H39)</f>
        <v>699850</v>
      </c>
      <c r="I40" s="118"/>
      <c r="J40" s="119"/>
      <c r="K40" s="120"/>
    </row>
    <row r="41" spans="1:11" ht="45" customHeight="1">
      <c r="A41" s="130">
        <v>1.1</v>
      </c>
      <c r="B41" s="132" t="s">
        <v>79</v>
      </c>
      <c r="C41" s="115"/>
      <c r="D41" s="115"/>
      <c r="E41" s="116">
        <f>+D41-C41</f>
        <v>0</v>
      </c>
      <c r="F41" s="117"/>
      <c r="G41" s="115"/>
      <c r="H41" s="121"/>
      <c r="I41" s="118"/>
      <c r="J41" s="119"/>
      <c r="K41" s="120"/>
    </row>
    <row r="42" spans="1:11" ht="45" customHeight="1">
      <c r="A42" s="93" t="s">
        <v>80</v>
      </c>
      <c r="B42" s="129" t="s">
        <v>81</v>
      </c>
      <c r="C42" s="124">
        <f>Activities!L31</f>
        <v>952204</v>
      </c>
      <c r="D42" s="124">
        <f>Activities!J31</f>
        <v>1032500</v>
      </c>
      <c r="E42" s="116">
        <f>+D42-C42</f>
        <v>80296</v>
      </c>
      <c r="F42" s="124">
        <f>Activities!L31+Activities!M31</f>
        <v>2672360</v>
      </c>
      <c r="G42" s="115">
        <f>Activities!J31+Activities!K31</f>
        <v>2581250</v>
      </c>
      <c r="H42" s="96">
        <f>G42-F42</f>
        <v>-91110</v>
      </c>
      <c r="I42" s="118" t="s">
        <v>447</v>
      </c>
      <c r="J42" s="119"/>
      <c r="K42" s="120"/>
    </row>
    <row r="43" spans="1:11" ht="45" customHeight="1">
      <c r="A43" s="93" t="s">
        <v>82</v>
      </c>
      <c r="B43" s="94" t="s">
        <v>81</v>
      </c>
      <c r="C43" s="124">
        <f>Activities!L32</f>
        <v>0</v>
      </c>
      <c r="D43" s="124">
        <f>Activities!J32</f>
        <v>1548750</v>
      </c>
      <c r="E43" s="116">
        <f>+D43-C43</f>
        <v>1548750</v>
      </c>
      <c r="F43" s="124">
        <f>Activities!L32+Activities!M32</f>
        <v>3310099</v>
      </c>
      <c r="G43" s="115">
        <f>Activities!J32+Activities!K32</f>
        <v>4130000</v>
      </c>
      <c r="H43" s="96">
        <f>G43-F43</f>
        <v>819901</v>
      </c>
      <c r="I43" s="118" t="s">
        <v>428</v>
      </c>
      <c r="J43" s="119"/>
      <c r="K43" s="120"/>
    </row>
    <row r="44" spans="1:11" ht="45" customHeight="1">
      <c r="A44" s="113"/>
      <c r="B44" s="114" t="s">
        <v>57</v>
      </c>
      <c r="C44" s="128">
        <f>SUM(C42:C43)</f>
        <v>952204</v>
      </c>
      <c r="D44" s="128">
        <f>SUM(D42:D43)</f>
        <v>2581250</v>
      </c>
      <c r="E44" s="128">
        <f>SUM(E42:E43)</f>
        <v>1629046</v>
      </c>
      <c r="F44" s="128">
        <f>SUM(F42:F43)</f>
        <v>5982459</v>
      </c>
      <c r="G44" s="128">
        <f>SUM(G42:G43)</f>
        <v>6711250</v>
      </c>
      <c r="H44" s="128">
        <f>SUM(H42:H43)</f>
        <v>728791</v>
      </c>
      <c r="I44" s="118"/>
      <c r="J44" s="119"/>
      <c r="K44" s="120"/>
    </row>
    <row r="45" spans="1:11" ht="45" customHeight="1">
      <c r="A45" s="133"/>
      <c r="B45" s="134" t="s">
        <v>83</v>
      </c>
      <c r="C45" s="135">
        <f>+C24+C30+C36+C40+C44</f>
        <v>11512765</v>
      </c>
      <c r="D45" s="135">
        <f>+D24+D30+D36+D40+D44</f>
        <v>18092807.25</v>
      </c>
      <c r="E45" s="135">
        <f>+E24+E30+E36+E40+E44</f>
        <v>6580042.25</v>
      </c>
      <c r="F45" s="135">
        <f>+F24+F30+F36+F40+F44</f>
        <v>22172367</v>
      </c>
      <c r="G45" s="135">
        <f>+G24+G30+G36+G40+G44</f>
        <v>25124132.25</v>
      </c>
      <c r="H45" s="135">
        <f>+H24+H30+H36+H40+H44</f>
        <v>2951765.25</v>
      </c>
      <c r="I45" s="118"/>
      <c r="J45" s="119"/>
      <c r="K45" s="120"/>
    </row>
    <row r="46" spans="1:11" ht="45" customHeight="1">
      <c r="A46" s="113" t="s">
        <v>84</v>
      </c>
      <c r="B46" s="114" t="s">
        <v>85</v>
      </c>
      <c r="C46" s="115"/>
      <c r="D46" s="115"/>
      <c r="E46" s="116"/>
      <c r="F46" s="117"/>
      <c r="G46" s="115"/>
      <c r="H46" s="121"/>
      <c r="I46" s="118"/>
      <c r="J46" s="119"/>
      <c r="K46" s="120"/>
    </row>
    <row r="47" spans="1:11" ht="45" customHeight="1">
      <c r="A47" s="113">
        <v>2.1</v>
      </c>
      <c r="B47" s="114" t="s">
        <v>86</v>
      </c>
      <c r="C47" s="124">
        <f>Activities!L36</f>
        <v>0</v>
      </c>
      <c r="D47" s="124">
        <f>Activities!J36</f>
        <v>0</v>
      </c>
      <c r="E47" s="116">
        <f aca="true" t="shared" si="2" ref="E47:E53">+D47-C47</f>
        <v>0</v>
      </c>
      <c r="F47" s="124">
        <f>Activities!L36+Activities!M36</f>
        <v>0</v>
      </c>
      <c r="G47" s="115">
        <f>Activities!J36+Activities!K36</f>
        <v>0</v>
      </c>
      <c r="H47" s="96">
        <f aca="true" t="shared" si="3" ref="H47:H53">G47-F47</f>
        <v>0</v>
      </c>
      <c r="I47" s="118"/>
      <c r="J47" s="119"/>
      <c r="K47" s="120"/>
    </row>
    <row r="48" spans="1:11" ht="45" customHeight="1">
      <c r="A48" s="131" t="s">
        <v>87</v>
      </c>
      <c r="B48" s="94" t="s">
        <v>88</v>
      </c>
      <c r="C48" s="124">
        <f>Activities!L37</f>
        <v>0</v>
      </c>
      <c r="D48" s="124">
        <f>Activities!J37</f>
        <v>0</v>
      </c>
      <c r="E48" s="116">
        <f t="shared" si="2"/>
        <v>0</v>
      </c>
      <c r="F48" s="124">
        <f>Activities!L37+Activities!M37</f>
        <v>3850</v>
      </c>
      <c r="G48" s="115">
        <f>Activities!J37+Activities!K37</f>
        <v>154875</v>
      </c>
      <c r="H48" s="96">
        <f t="shared" si="3"/>
        <v>151025</v>
      </c>
      <c r="I48" s="118" t="s">
        <v>428</v>
      </c>
      <c r="J48" s="119"/>
      <c r="K48" s="120"/>
    </row>
    <row r="49" spans="1:11" ht="45" customHeight="1">
      <c r="A49" s="131" t="s">
        <v>89</v>
      </c>
      <c r="B49" s="94" t="s">
        <v>90</v>
      </c>
      <c r="C49" s="124">
        <f>Activities!L38</f>
        <v>0</v>
      </c>
      <c r="D49" s="124">
        <f>Activities!J38</f>
        <v>0</v>
      </c>
      <c r="E49" s="116">
        <f t="shared" si="2"/>
        <v>0</v>
      </c>
      <c r="F49" s="124">
        <f>Activities!L38+Activities!M38</f>
        <v>0</v>
      </c>
      <c r="G49" s="115">
        <f>Activities!J38+Activities!K38</f>
        <v>103250</v>
      </c>
      <c r="H49" s="96">
        <f t="shared" si="3"/>
        <v>103250</v>
      </c>
      <c r="I49" s="118" t="s">
        <v>428</v>
      </c>
      <c r="J49" s="119"/>
      <c r="K49" s="120"/>
    </row>
    <row r="50" spans="1:11" ht="45" customHeight="1">
      <c r="A50" s="136"/>
      <c r="B50" s="114" t="s">
        <v>57</v>
      </c>
      <c r="C50" s="124">
        <f>Activities!L39</f>
        <v>0</v>
      </c>
      <c r="D50" s="124">
        <f>Activities!J39</f>
        <v>0</v>
      </c>
      <c r="E50" s="116">
        <f t="shared" si="2"/>
        <v>0</v>
      </c>
      <c r="F50" s="124">
        <f>Activities!L39+Activities!M39</f>
        <v>3850</v>
      </c>
      <c r="G50" s="115">
        <f>Activities!J39+Activities!K39</f>
        <v>258125</v>
      </c>
      <c r="H50" s="96">
        <f t="shared" si="3"/>
        <v>254275</v>
      </c>
      <c r="I50" s="118" t="s">
        <v>428</v>
      </c>
      <c r="J50" s="119"/>
      <c r="K50" s="120"/>
    </row>
    <row r="51" spans="1:11" ht="45" customHeight="1">
      <c r="A51" s="113">
        <v>2.2</v>
      </c>
      <c r="B51" s="132" t="s">
        <v>91</v>
      </c>
      <c r="C51" s="124">
        <f>Activities!L40</f>
        <v>0</v>
      </c>
      <c r="D51" s="124">
        <f>Activities!J40</f>
        <v>0</v>
      </c>
      <c r="E51" s="116">
        <f t="shared" si="2"/>
        <v>0</v>
      </c>
      <c r="F51" s="124">
        <f>Activities!L40+Activities!M40</f>
        <v>0</v>
      </c>
      <c r="G51" s="115">
        <f>Activities!J40+Activities!K40</f>
        <v>0</v>
      </c>
      <c r="H51" s="96">
        <f t="shared" si="3"/>
        <v>0</v>
      </c>
      <c r="I51" s="118"/>
      <c r="J51" s="119"/>
      <c r="K51" s="120"/>
    </row>
    <row r="52" spans="1:11" ht="45" customHeight="1">
      <c r="A52" s="127" t="s">
        <v>92</v>
      </c>
      <c r="B52" s="129" t="s">
        <v>93</v>
      </c>
      <c r="C52" s="124">
        <f>Activities!L41</f>
        <v>503214</v>
      </c>
      <c r="D52" s="124">
        <f>Activities!J41</f>
        <v>516250</v>
      </c>
      <c r="E52" s="116">
        <f t="shared" si="2"/>
        <v>13036</v>
      </c>
      <c r="F52" s="124">
        <f>Activities!L41+Activities!M41</f>
        <v>506214</v>
      </c>
      <c r="G52" s="115">
        <f>Activities!J41+Activities!K41</f>
        <v>516250</v>
      </c>
      <c r="H52" s="96">
        <f t="shared" si="3"/>
        <v>10036</v>
      </c>
      <c r="I52" s="118" t="s">
        <v>447</v>
      </c>
      <c r="J52" s="119"/>
      <c r="K52" s="120"/>
    </row>
    <row r="53" spans="1:11" ht="45" customHeight="1">
      <c r="A53" s="131" t="s">
        <v>94</v>
      </c>
      <c r="B53" s="94" t="s">
        <v>93</v>
      </c>
      <c r="C53" s="124">
        <f>Activities!L42</f>
        <v>0</v>
      </c>
      <c r="D53" s="124">
        <f>Activities!J42</f>
        <v>258125</v>
      </c>
      <c r="E53" s="116">
        <f t="shared" si="2"/>
        <v>258125</v>
      </c>
      <c r="F53" s="124">
        <f>Activities!L42+Activities!M42</f>
        <v>0</v>
      </c>
      <c r="G53" s="115">
        <f>Activities!J42+Activities!K42</f>
        <v>516250</v>
      </c>
      <c r="H53" s="96">
        <f t="shared" si="3"/>
        <v>516250</v>
      </c>
      <c r="I53" s="118" t="s">
        <v>428</v>
      </c>
      <c r="J53" s="119"/>
      <c r="K53" s="120"/>
    </row>
    <row r="54" spans="1:11" ht="45" customHeight="1">
      <c r="A54" s="136"/>
      <c r="B54" s="114" t="s">
        <v>57</v>
      </c>
      <c r="C54" s="128">
        <f>SUM(C52:C53)</f>
        <v>503214</v>
      </c>
      <c r="D54" s="128">
        <f>SUM(D52:D53)</f>
        <v>774375</v>
      </c>
      <c r="E54" s="128">
        <f>SUM(E52:E53)</f>
        <v>271161</v>
      </c>
      <c r="F54" s="128">
        <f>SUM(F52:F53)</f>
        <v>506214</v>
      </c>
      <c r="G54" s="128">
        <f>SUM(G52:G53)</f>
        <v>1032500</v>
      </c>
      <c r="H54" s="128">
        <f>SUM(H52:H53)</f>
        <v>526286</v>
      </c>
      <c r="I54" s="118"/>
      <c r="J54" s="119"/>
      <c r="K54" s="120"/>
    </row>
    <row r="55" spans="1:11" ht="45" customHeight="1">
      <c r="A55" s="113">
        <v>2.3</v>
      </c>
      <c r="B55" s="132" t="s">
        <v>95</v>
      </c>
      <c r="C55" s="115"/>
      <c r="D55" s="115"/>
      <c r="E55" s="116"/>
      <c r="F55" s="117"/>
      <c r="G55" s="115"/>
      <c r="H55" s="121"/>
      <c r="I55" s="118"/>
      <c r="J55" s="119"/>
      <c r="K55" s="120"/>
    </row>
    <row r="56" spans="1:11" ht="45" customHeight="1">
      <c r="A56" s="127" t="s">
        <v>96</v>
      </c>
      <c r="B56" s="129" t="s">
        <v>97</v>
      </c>
      <c r="C56" s="124">
        <f>Activities!L45</f>
        <v>0</v>
      </c>
      <c r="D56" s="124">
        <f>Activities!J45</f>
        <v>1239000</v>
      </c>
      <c r="E56" s="116">
        <f>+D56-C56</f>
        <v>1239000</v>
      </c>
      <c r="F56" s="124">
        <f>Activities!L45+Activities!M45</f>
        <v>1162000</v>
      </c>
      <c r="G56" s="115">
        <f>Activities!J45+Activities!K45</f>
        <v>1489071.5</v>
      </c>
      <c r="H56" s="96">
        <f>G56-F56</f>
        <v>327071.5</v>
      </c>
      <c r="I56" s="118" t="s">
        <v>428</v>
      </c>
      <c r="J56" s="119"/>
      <c r="K56" s="120"/>
    </row>
    <row r="57" spans="1:11" ht="45" customHeight="1">
      <c r="A57" s="131" t="s">
        <v>98</v>
      </c>
      <c r="B57" s="94" t="s">
        <v>97</v>
      </c>
      <c r="C57" s="124">
        <f>Activities!L46</f>
        <v>0</v>
      </c>
      <c r="D57" s="124">
        <f>Activities!J46</f>
        <v>1239000</v>
      </c>
      <c r="E57" s="116">
        <f>+D57-C57</f>
        <v>1239000</v>
      </c>
      <c r="F57" s="124">
        <f>Activities!L46+Activities!M46</f>
        <v>375000</v>
      </c>
      <c r="G57" s="115">
        <f>Activities!J46+Activities!K46</f>
        <v>2263756.25</v>
      </c>
      <c r="H57" s="96">
        <f>G57-F57</f>
        <v>1888756.25</v>
      </c>
      <c r="I57" s="118" t="s">
        <v>428</v>
      </c>
      <c r="J57" s="119"/>
      <c r="K57" s="120"/>
    </row>
    <row r="58" spans="1:11" ht="45" customHeight="1">
      <c r="A58" s="127" t="s">
        <v>99</v>
      </c>
      <c r="B58" s="129" t="s">
        <v>100</v>
      </c>
      <c r="C58" s="124">
        <f>Activities!L47</f>
        <v>1060400</v>
      </c>
      <c r="D58" s="124">
        <f>Activities!J47</f>
        <v>1445500</v>
      </c>
      <c r="E58" s="116">
        <f>+D58-C58</f>
        <v>385100</v>
      </c>
      <c r="F58" s="124">
        <f>Activities!L47+Activities!M47</f>
        <v>7380400</v>
      </c>
      <c r="G58" s="115">
        <f>Activities!J47+Activities!K47</f>
        <v>1652000</v>
      </c>
      <c r="H58" s="96">
        <f>G58-F58</f>
        <v>-5728400</v>
      </c>
      <c r="I58" s="118" t="s">
        <v>428</v>
      </c>
      <c r="J58" s="119"/>
      <c r="K58" s="120"/>
    </row>
    <row r="59" spans="1:11" ht="45" customHeight="1">
      <c r="A59" s="131" t="s">
        <v>101</v>
      </c>
      <c r="B59" s="94" t="s">
        <v>100</v>
      </c>
      <c r="C59" s="124">
        <f>Activities!L48</f>
        <v>0</v>
      </c>
      <c r="D59" s="124">
        <f>Activities!J48</f>
        <v>3613750</v>
      </c>
      <c r="E59" s="116">
        <f>+D59-C59</f>
        <v>3613750</v>
      </c>
      <c r="F59" s="124">
        <f>Activities!L48+Activities!M48</f>
        <v>3623600</v>
      </c>
      <c r="G59" s="115">
        <f>Activities!J48+Activities!K48</f>
        <v>5567240</v>
      </c>
      <c r="H59" s="96">
        <f>G59-F59</f>
        <v>1943640</v>
      </c>
      <c r="I59" s="118" t="s">
        <v>428</v>
      </c>
      <c r="J59" s="119"/>
      <c r="K59" s="120"/>
    </row>
    <row r="60" spans="1:11" ht="45" customHeight="1">
      <c r="A60" s="136"/>
      <c r="B60" s="114" t="s">
        <v>57</v>
      </c>
      <c r="C60" s="128">
        <f>SUM(C56:C59)</f>
        <v>1060400</v>
      </c>
      <c r="D60" s="128">
        <f>SUM(D56:D59)</f>
        <v>7537250</v>
      </c>
      <c r="E60" s="128">
        <f>SUM(E56:E59)</f>
        <v>6476850</v>
      </c>
      <c r="F60" s="128">
        <f>SUM(F56:F59)</f>
        <v>12541000</v>
      </c>
      <c r="G60" s="128">
        <f>SUM(G56:G59)</f>
        <v>10972067.75</v>
      </c>
      <c r="H60" s="128">
        <f>SUM(H56:H59)</f>
        <v>-1568932.25</v>
      </c>
      <c r="I60" s="118"/>
      <c r="J60" s="119"/>
      <c r="K60" s="120"/>
    </row>
    <row r="61" spans="1:11" ht="45" customHeight="1">
      <c r="A61" s="113">
        <v>2.4</v>
      </c>
      <c r="B61" s="137" t="s">
        <v>102</v>
      </c>
      <c r="C61" s="115"/>
      <c r="D61" s="115"/>
      <c r="E61" s="116"/>
      <c r="F61" s="117"/>
      <c r="G61" s="115"/>
      <c r="H61" s="121"/>
      <c r="I61" s="118"/>
      <c r="J61" s="119"/>
      <c r="K61" s="120"/>
    </row>
    <row r="62" spans="1:11" ht="45" customHeight="1">
      <c r="A62" s="127" t="s">
        <v>103</v>
      </c>
      <c r="B62" s="129" t="s">
        <v>104</v>
      </c>
      <c r="C62" s="124">
        <f>Activities!L51</f>
        <v>0</v>
      </c>
      <c r="D62" s="124">
        <f>Activities!J51</f>
        <v>1239000</v>
      </c>
      <c r="E62" s="116">
        <f>+D62-C62</f>
        <v>1239000</v>
      </c>
      <c r="F62" s="124">
        <f>Activities!L51+Activities!M51</f>
        <v>1641500</v>
      </c>
      <c r="G62" s="115">
        <f>Activities!J51+Activities!K51</f>
        <v>3304000</v>
      </c>
      <c r="H62" s="96">
        <f>G62-F62</f>
        <v>1662500</v>
      </c>
      <c r="I62" s="118" t="s">
        <v>428</v>
      </c>
      <c r="J62" s="119"/>
      <c r="K62" s="120"/>
    </row>
    <row r="63" spans="1:11" ht="45" customHeight="1">
      <c r="A63" s="131" t="s">
        <v>105</v>
      </c>
      <c r="B63" s="94" t="s">
        <v>104</v>
      </c>
      <c r="C63" s="124">
        <f>Activities!L52</f>
        <v>0</v>
      </c>
      <c r="D63" s="124">
        <f>Activities!J52</f>
        <v>619500</v>
      </c>
      <c r="E63" s="116">
        <f>+D63-C63</f>
        <v>619500</v>
      </c>
      <c r="F63" s="124">
        <f>Activities!L52+Activities!M52</f>
        <v>1583000</v>
      </c>
      <c r="G63" s="115">
        <f>Activities!J52+Activities!K52</f>
        <v>1424850</v>
      </c>
      <c r="H63" s="96">
        <f>G63-F63</f>
        <v>-158150</v>
      </c>
      <c r="I63" s="118" t="s">
        <v>428</v>
      </c>
      <c r="J63" s="119"/>
      <c r="K63" s="120"/>
    </row>
    <row r="64" spans="1:11" ht="45" customHeight="1">
      <c r="A64" s="127" t="s">
        <v>106</v>
      </c>
      <c r="B64" s="129" t="s">
        <v>100</v>
      </c>
      <c r="C64" s="124">
        <f>Activities!L53</f>
        <v>1271788</v>
      </c>
      <c r="D64" s="124">
        <f>Activities!J53</f>
        <v>1445500</v>
      </c>
      <c r="E64" s="116">
        <f>+D64-C64</f>
        <v>173712</v>
      </c>
      <c r="F64" s="124">
        <f>Activities!L53+Activities!M53</f>
        <v>1621788</v>
      </c>
      <c r="G64" s="115">
        <f>Activities!J53+Activities!K53</f>
        <v>1652000</v>
      </c>
      <c r="H64" s="96">
        <f>G64-F64</f>
        <v>30212</v>
      </c>
      <c r="I64" s="118" t="s">
        <v>447</v>
      </c>
      <c r="J64" s="119"/>
      <c r="K64" s="120"/>
    </row>
    <row r="65" spans="1:11" ht="45" customHeight="1">
      <c r="A65" s="138" t="s">
        <v>107</v>
      </c>
      <c r="B65" s="94" t="s">
        <v>100</v>
      </c>
      <c r="C65" s="124">
        <f>Activities!L54</f>
        <v>0</v>
      </c>
      <c r="D65" s="124">
        <f>Activities!J54</f>
        <v>4130000</v>
      </c>
      <c r="E65" s="116">
        <f>+D65-C65</f>
        <v>4130000</v>
      </c>
      <c r="F65" s="124">
        <f>Activities!L54+Activities!M54</f>
        <v>0</v>
      </c>
      <c r="G65" s="115">
        <f>Activities!J54+Activities!K54</f>
        <v>8270325</v>
      </c>
      <c r="H65" s="96">
        <f>G65-F65</f>
        <v>8270325</v>
      </c>
      <c r="I65" s="118" t="s">
        <v>428</v>
      </c>
      <c r="J65" s="119"/>
      <c r="K65" s="120"/>
    </row>
    <row r="66" spans="1:11" ht="45" customHeight="1">
      <c r="A66" s="136"/>
      <c r="B66" s="114" t="s">
        <v>57</v>
      </c>
      <c r="C66" s="128">
        <f>SUM(C62:C65)</f>
        <v>1271788</v>
      </c>
      <c r="D66" s="128">
        <f>SUM(D62:D65)</f>
        <v>7434000</v>
      </c>
      <c r="E66" s="128">
        <f>SUM(E62:E65)</f>
        <v>6162212</v>
      </c>
      <c r="F66" s="128">
        <f>SUM(F62:F65)</f>
        <v>4846288</v>
      </c>
      <c r="G66" s="128">
        <f>SUM(G62:G65)</f>
        <v>14651175</v>
      </c>
      <c r="H66" s="128">
        <f>SUM(H62:H65)</f>
        <v>9804887</v>
      </c>
      <c r="I66" s="118"/>
      <c r="J66" s="119"/>
      <c r="K66" s="120"/>
    </row>
    <row r="67" spans="1:11" ht="45" customHeight="1">
      <c r="A67" s="113">
        <v>2.5</v>
      </c>
      <c r="B67" s="114" t="s">
        <v>108</v>
      </c>
      <c r="C67" s="115"/>
      <c r="D67" s="115"/>
      <c r="E67" s="116"/>
      <c r="F67" s="117"/>
      <c r="G67" s="115"/>
      <c r="H67" s="121"/>
      <c r="I67" s="118"/>
      <c r="J67" s="119"/>
      <c r="K67" s="120"/>
    </row>
    <row r="68" spans="1:11" ht="45" customHeight="1">
      <c r="A68" s="139" t="s">
        <v>109</v>
      </c>
      <c r="B68" s="123" t="s">
        <v>110</v>
      </c>
      <c r="C68" s="124">
        <f>Activities!L57</f>
        <v>32203</v>
      </c>
      <c r="D68" s="124">
        <f>Activities!J57</f>
        <v>2168250</v>
      </c>
      <c r="E68" s="116">
        <f aca="true" t="shared" si="4" ref="E68:E77">+D68-C68</f>
        <v>2136047</v>
      </c>
      <c r="F68" s="124">
        <f>Activities!L57+Activities!M57</f>
        <v>1320803</v>
      </c>
      <c r="G68" s="115">
        <f>Activities!J57+Activities!K57</f>
        <v>2168250</v>
      </c>
      <c r="H68" s="96">
        <f aca="true" t="shared" si="5" ref="H68:H77">G68-F68</f>
        <v>847447</v>
      </c>
      <c r="I68" s="118" t="s">
        <v>427</v>
      </c>
      <c r="J68" s="119"/>
      <c r="K68" s="120"/>
    </row>
    <row r="69" spans="1:11" ht="45" customHeight="1">
      <c r="A69" s="131" t="s">
        <v>111</v>
      </c>
      <c r="B69" s="94" t="s">
        <v>112</v>
      </c>
      <c r="C69" s="124">
        <f>Activities!L58</f>
        <v>0</v>
      </c>
      <c r="D69" s="124">
        <f>Activities!J58</f>
        <v>258125</v>
      </c>
      <c r="E69" s="116">
        <f t="shared" si="4"/>
        <v>258125</v>
      </c>
      <c r="F69" s="124">
        <f>Activities!L58+Activities!M58</f>
        <v>0</v>
      </c>
      <c r="G69" s="115">
        <f>Activities!J58+Activities!K58</f>
        <v>1290625</v>
      </c>
      <c r="H69" s="96">
        <f t="shared" si="5"/>
        <v>1290625</v>
      </c>
      <c r="I69" s="118" t="s">
        <v>427</v>
      </c>
      <c r="J69" s="119"/>
      <c r="K69" s="120"/>
    </row>
    <row r="70" spans="1:11" ht="45" customHeight="1">
      <c r="A70" s="139" t="s">
        <v>113</v>
      </c>
      <c r="B70" s="123" t="s">
        <v>114</v>
      </c>
      <c r="C70" s="124">
        <f>Activities!L59</f>
        <v>0</v>
      </c>
      <c r="D70" s="124">
        <f>Activities!J59</f>
        <v>103250</v>
      </c>
      <c r="E70" s="116">
        <f t="shared" si="4"/>
        <v>103250</v>
      </c>
      <c r="F70" s="124">
        <f>Activities!L59+Activities!M59</f>
        <v>0</v>
      </c>
      <c r="G70" s="115">
        <f>Activities!J59+Activities!K59</f>
        <v>103250</v>
      </c>
      <c r="H70" s="96">
        <f t="shared" si="5"/>
        <v>103250</v>
      </c>
      <c r="I70" s="118" t="s">
        <v>427</v>
      </c>
      <c r="J70" s="119"/>
      <c r="K70" s="120"/>
    </row>
    <row r="71" spans="1:11" ht="45" customHeight="1">
      <c r="A71" s="139" t="s">
        <v>115</v>
      </c>
      <c r="B71" s="123" t="s">
        <v>116</v>
      </c>
      <c r="C71" s="124">
        <f>Activities!L60</f>
        <v>0</v>
      </c>
      <c r="D71" s="124">
        <f>Activities!J60</f>
        <v>206500</v>
      </c>
      <c r="E71" s="116">
        <f t="shared" si="4"/>
        <v>206500</v>
      </c>
      <c r="F71" s="124">
        <f>Activities!L60+Activities!M60</f>
        <v>232388</v>
      </c>
      <c r="G71" s="115">
        <f>Activities!J60+Activities!K60</f>
        <v>206500</v>
      </c>
      <c r="H71" s="96">
        <f t="shared" si="5"/>
        <v>-25888</v>
      </c>
      <c r="I71" s="118" t="s">
        <v>447</v>
      </c>
      <c r="J71" s="119"/>
      <c r="K71" s="120"/>
    </row>
    <row r="72" spans="1:11" ht="45" customHeight="1">
      <c r="A72" s="139" t="s">
        <v>117</v>
      </c>
      <c r="B72" s="123" t="s">
        <v>118</v>
      </c>
      <c r="C72" s="124">
        <f>Activities!L61</f>
        <v>81330</v>
      </c>
      <c r="D72" s="124">
        <f>Activities!J61</f>
        <v>351050</v>
      </c>
      <c r="E72" s="116">
        <f t="shared" si="4"/>
        <v>269720</v>
      </c>
      <c r="F72" s="124">
        <f>Activities!L61+Activities!M61</f>
        <v>81330</v>
      </c>
      <c r="G72" s="115">
        <f>Activities!J61+Activities!K61</f>
        <v>351050</v>
      </c>
      <c r="H72" s="96">
        <f t="shared" si="5"/>
        <v>269720</v>
      </c>
      <c r="I72" s="118" t="s">
        <v>427</v>
      </c>
      <c r="J72" s="119"/>
      <c r="K72" s="120"/>
    </row>
    <row r="73" spans="1:11" ht="45" customHeight="1">
      <c r="A73" s="131" t="s">
        <v>119</v>
      </c>
      <c r="B73" s="94" t="s">
        <v>120</v>
      </c>
      <c r="C73" s="124">
        <f>Activities!L62</f>
        <v>233100</v>
      </c>
      <c r="D73" s="124">
        <f>Activities!J62</f>
        <v>722750</v>
      </c>
      <c r="E73" s="116">
        <f t="shared" si="4"/>
        <v>489650</v>
      </c>
      <c r="F73" s="124">
        <f>Activities!L62+Activities!M62</f>
        <v>233100</v>
      </c>
      <c r="G73" s="115">
        <f>Activities!J62+Activities!K62</f>
        <v>722750</v>
      </c>
      <c r="H73" s="96">
        <f t="shared" si="5"/>
        <v>489650</v>
      </c>
      <c r="I73" s="118" t="s">
        <v>427</v>
      </c>
      <c r="J73" s="119"/>
      <c r="K73" s="120"/>
    </row>
    <row r="74" spans="1:11" ht="45" customHeight="1">
      <c r="A74" s="139" t="s">
        <v>121</v>
      </c>
      <c r="B74" s="123" t="s">
        <v>122</v>
      </c>
      <c r="C74" s="124">
        <f>Activities!L63</f>
        <v>0</v>
      </c>
      <c r="D74" s="124">
        <f>Activities!J63</f>
        <v>258125</v>
      </c>
      <c r="E74" s="116">
        <f t="shared" si="4"/>
        <v>258125</v>
      </c>
      <c r="F74" s="124">
        <f>Activities!L63+Activities!M63</f>
        <v>401630</v>
      </c>
      <c r="G74" s="115">
        <f>Activities!J63+Activities!K63</f>
        <v>258125</v>
      </c>
      <c r="H74" s="96">
        <f t="shared" si="5"/>
        <v>-143505</v>
      </c>
      <c r="I74" s="118" t="s">
        <v>427</v>
      </c>
      <c r="J74" s="119"/>
      <c r="K74" s="120"/>
    </row>
    <row r="75" spans="1:11" ht="45" customHeight="1">
      <c r="A75" s="131" t="s">
        <v>123</v>
      </c>
      <c r="B75" s="94" t="s">
        <v>124</v>
      </c>
      <c r="C75" s="124">
        <f>Activities!L64</f>
        <v>0</v>
      </c>
      <c r="D75" s="124">
        <f>Activities!J64</f>
        <v>113988</v>
      </c>
      <c r="E75" s="116">
        <f t="shared" si="4"/>
        <v>113988</v>
      </c>
      <c r="F75" s="124">
        <f>Activities!L64+Activities!M64</f>
        <v>0</v>
      </c>
      <c r="G75" s="115">
        <f>Activities!J64+Activities!K64</f>
        <v>113988</v>
      </c>
      <c r="H75" s="96">
        <f t="shared" si="5"/>
        <v>113988</v>
      </c>
      <c r="I75" s="118" t="s">
        <v>447</v>
      </c>
      <c r="J75" s="119"/>
      <c r="K75" s="120"/>
    </row>
    <row r="76" spans="1:11" ht="45" customHeight="1">
      <c r="A76" s="139" t="s">
        <v>125</v>
      </c>
      <c r="B76" s="123" t="s">
        <v>126</v>
      </c>
      <c r="C76" s="124">
        <f>Activities!L65</f>
        <v>0</v>
      </c>
      <c r="D76" s="124">
        <f>Activities!J65</f>
        <v>0</v>
      </c>
      <c r="E76" s="116">
        <f t="shared" si="4"/>
        <v>0</v>
      </c>
      <c r="F76" s="124">
        <f>Activities!L65+Activities!M65</f>
        <v>3883124</v>
      </c>
      <c r="G76" s="115">
        <f>Activities!J65+Activities!K65</f>
        <v>3097500</v>
      </c>
      <c r="H76" s="96">
        <f t="shared" si="5"/>
        <v>-785624</v>
      </c>
      <c r="I76" s="118" t="s">
        <v>447</v>
      </c>
      <c r="J76" s="119"/>
      <c r="K76" s="120"/>
    </row>
    <row r="77" spans="1:11" ht="45" customHeight="1">
      <c r="A77" s="139" t="s">
        <v>127</v>
      </c>
      <c r="B77" s="123" t="s">
        <v>128</v>
      </c>
      <c r="C77" s="124">
        <f>Activities!L66</f>
        <v>0</v>
      </c>
      <c r="D77" s="124">
        <f>Activities!J66</f>
        <v>103250</v>
      </c>
      <c r="E77" s="116">
        <f t="shared" si="4"/>
        <v>103250</v>
      </c>
      <c r="F77" s="124">
        <f>Activities!L66+Activities!M66</f>
        <v>0</v>
      </c>
      <c r="G77" s="115">
        <f>Activities!J66+Activities!K66</f>
        <v>103250</v>
      </c>
      <c r="H77" s="96">
        <f t="shared" si="5"/>
        <v>103250</v>
      </c>
      <c r="I77" s="118" t="s">
        <v>427</v>
      </c>
      <c r="J77" s="119"/>
      <c r="K77" s="120"/>
    </row>
    <row r="78" spans="1:11" ht="45" customHeight="1">
      <c r="A78" s="136"/>
      <c r="B78" s="114" t="s">
        <v>57</v>
      </c>
      <c r="C78" s="128">
        <f>SUM(C68:C77)</f>
        <v>346633</v>
      </c>
      <c r="D78" s="128">
        <f>SUM(D68:D77)</f>
        <v>4285288</v>
      </c>
      <c r="E78" s="128">
        <f>SUM(E68:E77)</f>
        <v>3938655</v>
      </c>
      <c r="F78" s="128">
        <f>SUM(F68:F77)</f>
        <v>6152375</v>
      </c>
      <c r="G78" s="128">
        <f>SUM(G68:G77)</f>
        <v>8415288</v>
      </c>
      <c r="H78" s="128">
        <f>SUM(H68:H77)</f>
        <v>2262913</v>
      </c>
      <c r="I78" s="118"/>
      <c r="J78" s="119"/>
      <c r="K78" s="120"/>
    </row>
    <row r="79" spans="1:11" ht="45" customHeight="1">
      <c r="A79" s="127" t="s">
        <v>129</v>
      </c>
      <c r="B79" s="129" t="s">
        <v>130</v>
      </c>
      <c r="C79" s="124">
        <f>Activities!L68</f>
        <v>0</v>
      </c>
      <c r="D79" s="124">
        <f>Activities!J68</f>
        <v>961360.75</v>
      </c>
      <c r="E79" s="116">
        <f>+D79-C79</f>
        <v>961360.75</v>
      </c>
      <c r="F79" s="124">
        <f>Activities!L68+Activities!M68</f>
        <v>0</v>
      </c>
      <c r="G79" s="115">
        <f>Activities!J68+Activities!K68</f>
        <v>961360.75</v>
      </c>
      <c r="H79" s="96">
        <f>G79-F79</f>
        <v>961360.75</v>
      </c>
      <c r="I79" s="118" t="s">
        <v>430</v>
      </c>
      <c r="J79" s="119"/>
      <c r="K79" s="120"/>
    </row>
    <row r="80" spans="1:11" ht="45" customHeight="1">
      <c r="A80" s="131">
        <v>2.6</v>
      </c>
      <c r="B80" s="94" t="s">
        <v>130</v>
      </c>
      <c r="C80" s="124">
        <f>Activities!L69</f>
        <v>0</v>
      </c>
      <c r="D80" s="124">
        <f>Activities!J69</f>
        <v>1342250</v>
      </c>
      <c r="E80" s="116">
        <f>+D80-C80</f>
        <v>1342250</v>
      </c>
      <c r="F80" s="124">
        <f>Activities!L69+Activities!M69</f>
        <v>562170</v>
      </c>
      <c r="G80" s="115">
        <f>Activities!J69+Activities!K69</f>
        <v>2065000</v>
      </c>
      <c r="H80" s="96">
        <f>G80-F80</f>
        <v>1502830</v>
      </c>
      <c r="I80" s="118"/>
      <c r="J80" s="119"/>
      <c r="K80" s="120"/>
    </row>
    <row r="81" spans="1:11" ht="45" customHeight="1">
      <c r="A81" s="136"/>
      <c r="B81" s="114" t="s">
        <v>57</v>
      </c>
      <c r="C81" s="128">
        <f>SUM(C79:C80)</f>
        <v>0</v>
      </c>
      <c r="D81" s="128">
        <f>SUM(D79:D80)</f>
        <v>2303610.75</v>
      </c>
      <c r="E81" s="128">
        <f>SUM(E79:E80)</f>
        <v>2303610.75</v>
      </c>
      <c r="F81" s="128">
        <f>SUM(F79:F80)</f>
        <v>562170</v>
      </c>
      <c r="G81" s="128">
        <f>SUM(G79:G80)</f>
        <v>3026360.75</v>
      </c>
      <c r="H81" s="128">
        <f>SUM(H79:H80)</f>
        <v>2464190.75</v>
      </c>
      <c r="I81" s="118"/>
      <c r="J81" s="119"/>
      <c r="K81" s="120"/>
    </row>
    <row r="82" spans="1:11" ht="45" customHeight="1">
      <c r="A82" s="113">
        <v>2.7</v>
      </c>
      <c r="B82" s="114" t="s">
        <v>131</v>
      </c>
      <c r="C82" s="115"/>
      <c r="D82" s="115"/>
      <c r="E82" s="116"/>
      <c r="F82" s="117"/>
      <c r="G82" s="115"/>
      <c r="H82" s="121"/>
      <c r="I82" s="118"/>
      <c r="J82" s="119"/>
      <c r="K82" s="120"/>
    </row>
    <row r="83" spans="1:11" ht="45" customHeight="1">
      <c r="A83" s="127" t="s">
        <v>132</v>
      </c>
      <c r="B83" s="129" t="s">
        <v>133</v>
      </c>
      <c r="C83" s="124">
        <f>Activities!L72</f>
        <v>221200</v>
      </c>
      <c r="D83" s="124">
        <f>Activities!J72</f>
        <v>516250</v>
      </c>
      <c r="E83" s="116">
        <f>+D83-C83</f>
        <v>295050</v>
      </c>
      <c r="F83" s="124">
        <f>Activities!L72+Activities!M72</f>
        <v>221200</v>
      </c>
      <c r="G83" s="115">
        <f>Activities!J72+Activities!K72</f>
        <v>516250</v>
      </c>
      <c r="H83" s="96">
        <f>G83-F83</f>
        <v>295050</v>
      </c>
      <c r="I83" s="118" t="s">
        <v>429</v>
      </c>
      <c r="J83" s="119"/>
      <c r="K83" s="120"/>
    </row>
    <row r="84" spans="1:11" ht="45" customHeight="1">
      <c r="A84" s="131" t="s">
        <v>134</v>
      </c>
      <c r="B84" s="94" t="s">
        <v>133</v>
      </c>
      <c r="C84" s="124">
        <f>Activities!L73</f>
        <v>0</v>
      </c>
      <c r="D84" s="124">
        <f>Activities!J73</f>
        <v>309750</v>
      </c>
      <c r="E84" s="116">
        <f>+D84-C84</f>
        <v>309750</v>
      </c>
      <c r="F84" s="124">
        <f>Activities!L73+Activities!M73</f>
        <v>361700</v>
      </c>
      <c r="G84" s="115">
        <f>Activities!J73+Activities!K73</f>
        <v>671125</v>
      </c>
      <c r="H84" s="96">
        <f>G84-F84</f>
        <v>309425</v>
      </c>
      <c r="I84" s="118" t="s">
        <v>427</v>
      </c>
      <c r="J84" s="119"/>
      <c r="K84" s="120"/>
    </row>
    <row r="85" spans="1:11" ht="45" customHeight="1">
      <c r="A85" s="136"/>
      <c r="B85" s="114" t="s">
        <v>57</v>
      </c>
      <c r="C85" s="128">
        <f>SUM(C83:C84)</f>
        <v>221200</v>
      </c>
      <c r="D85" s="128">
        <f>SUM(D83:D84)</f>
        <v>826000</v>
      </c>
      <c r="E85" s="128">
        <f>SUM(E83:E84)</f>
        <v>604800</v>
      </c>
      <c r="F85" s="128">
        <f>SUM(F83:F84)</f>
        <v>582900</v>
      </c>
      <c r="G85" s="128">
        <f>SUM(G83:G84)</f>
        <v>1187375</v>
      </c>
      <c r="H85" s="128">
        <f>SUM(H83:H84)</f>
        <v>604475</v>
      </c>
      <c r="I85" s="118"/>
      <c r="J85" s="119"/>
      <c r="K85" s="120"/>
    </row>
    <row r="86" spans="1:11" ht="45" customHeight="1">
      <c r="A86" s="136">
        <v>2.8</v>
      </c>
      <c r="B86" s="114" t="s">
        <v>135</v>
      </c>
      <c r="C86" s="115"/>
      <c r="D86" s="115"/>
      <c r="E86" s="116">
        <f>+D86-C86</f>
        <v>0</v>
      </c>
      <c r="F86" s="117"/>
      <c r="G86" s="115"/>
      <c r="H86" s="121"/>
      <c r="I86" s="118"/>
      <c r="J86" s="119"/>
      <c r="K86" s="120"/>
    </row>
    <row r="87" spans="1:11" ht="45" customHeight="1">
      <c r="A87" s="127" t="s">
        <v>136</v>
      </c>
      <c r="B87" s="129" t="s">
        <v>133</v>
      </c>
      <c r="C87" s="124">
        <f>Activities!L76</f>
        <v>0</v>
      </c>
      <c r="D87" s="124">
        <f>Activities!J76</f>
        <v>206500</v>
      </c>
      <c r="E87" s="116">
        <f>+D87-C87</f>
        <v>206500</v>
      </c>
      <c r="F87" s="124">
        <f>Activities!L76+Activities!M76</f>
        <v>191700</v>
      </c>
      <c r="G87" s="115">
        <f>Activities!J76+Activities!K76</f>
        <v>516250</v>
      </c>
      <c r="H87" s="96">
        <f>G87-F87</f>
        <v>324550</v>
      </c>
      <c r="I87" s="118" t="s">
        <v>427</v>
      </c>
      <c r="J87" s="119"/>
      <c r="K87" s="120"/>
    </row>
    <row r="88" spans="1:11" ht="45" customHeight="1">
      <c r="A88" s="131" t="s">
        <v>137</v>
      </c>
      <c r="B88" s="94" t="s">
        <v>133</v>
      </c>
      <c r="C88" s="124">
        <f>Activities!L77</f>
        <v>0</v>
      </c>
      <c r="D88" s="124">
        <f>Activities!J77</f>
        <v>206500</v>
      </c>
      <c r="E88" s="116">
        <f>+D88-C88</f>
        <v>206500</v>
      </c>
      <c r="F88" s="124">
        <f>Activities!L77+Activities!M77</f>
        <v>0</v>
      </c>
      <c r="G88" s="115">
        <f>Activities!J77+Activities!K77</f>
        <v>1548750</v>
      </c>
      <c r="H88" s="96">
        <f>G88-F88</f>
        <v>1548750</v>
      </c>
      <c r="I88" s="118" t="s">
        <v>427</v>
      </c>
      <c r="J88" s="119"/>
      <c r="K88" s="120"/>
    </row>
    <row r="89" spans="1:11" ht="45" customHeight="1">
      <c r="A89" s="131"/>
      <c r="B89" s="114" t="s">
        <v>57</v>
      </c>
      <c r="C89" s="128">
        <f>SUM(C87:C88)</f>
        <v>0</v>
      </c>
      <c r="D89" s="128">
        <f>SUM(D87:D88)</f>
        <v>413000</v>
      </c>
      <c r="E89" s="128">
        <f>SUM(E87:E88)</f>
        <v>413000</v>
      </c>
      <c r="F89" s="128">
        <f>SUM(F87:F88)</f>
        <v>191700</v>
      </c>
      <c r="G89" s="128">
        <v>413000</v>
      </c>
      <c r="H89" s="128">
        <f>SUM(H87:H88)</f>
        <v>1873300</v>
      </c>
      <c r="I89" s="118"/>
      <c r="J89" s="119"/>
      <c r="K89" s="120"/>
    </row>
    <row r="90" spans="1:11" ht="45" customHeight="1">
      <c r="A90" s="140"/>
      <c r="B90" s="134" t="s">
        <v>138</v>
      </c>
      <c r="C90" s="135">
        <f>+C50+C54+C60+C66+C78+C81+C85+C89</f>
        <v>3403235</v>
      </c>
      <c r="D90" s="135">
        <f>+D50+D54+D60+D66+D78+D81+D85+D89</f>
        <v>23573523.75</v>
      </c>
      <c r="E90" s="135">
        <f>+E50+E54+E60+E66+E78+E81+E85+E89</f>
        <v>20170288.75</v>
      </c>
      <c r="F90" s="135">
        <f>+F50+F54+F60+F66+F78+F81+F85+F89</f>
        <v>25386497</v>
      </c>
      <c r="G90" s="135">
        <f>+G50+G54+G60+G66+G78+G81+G85+G89</f>
        <v>39955891.5</v>
      </c>
      <c r="H90" s="135">
        <f>+H50+H54+H60+H66+H78+H81+H85+H89</f>
        <v>16221394.5</v>
      </c>
      <c r="I90" s="118"/>
      <c r="J90" s="119"/>
      <c r="K90" s="120"/>
    </row>
    <row r="91" spans="1:11" ht="37.5" customHeight="1">
      <c r="A91" s="113">
        <v>3</v>
      </c>
      <c r="B91" s="114" t="s">
        <v>139</v>
      </c>
      <c r="C91" s="115"/>
      <c r="D91" s="115"/>
      <c r="E91" s="116"/>
      <c r="F91" s="117"/>
      <c r="G91" s="115"/>
      <c r="H91" s="121"/>
      <c r="I91" s="118"/>
      <c r="J91" s="119"/>
      <c r="K91" s="120"/>
    </row>
    <row r="92" spans="1:11" ht="37.5" customHeight="1">
      <c r="A92" s="113" t="s">
        <v>140</v>
      </c>
      <c r="B92" s="114" t="s">
        <v>141</v>
      </c>
      <c r="C92" s="115"/>
      <c r="D92" s="115"/>
      <c r="E92" s="116"/>
      <c r="F92" s="117"/>
      <c r="G92" s="115"/>
      <c r="H92" s="121"/>
      <c r="I92" s="118"/>
      <c r="J92" s="119"/>
      <c r="K92" s="120"/>
    </row>
    <row r="93" spans="1:11" ht="37.5" customHeight="1">
      <c r="A93" s="93" t="s">
        <v>142</v>
      </c>
      <c r="B93" s="94" t="s">
        <v>143</v>
      </c>
      <c r="C93" s="124">
        <f>Activities!L82</f>
        <v>0</v>
      </c>
      <c r="D93" s="124">
        <f>Activities!J82</f>
        <v>77437.5</v>
      </c>
      <c r="E93" s="116">
        <f>+D93-C93</f>
        <v>77437.5</v>
      </c>
      <c r="F93" s="124">
        <f>Activities!L82+Activities!M82</f>
        <v>0</v>
      </c>
      <c r="G93" s="115">
        <f>Activities!J82+Activities!K82</f>
        <v>154875</v>
      </c>
      <c r="H93" s="96">
        <f>G93-F93</f>
        <v>154875</v>
      </c>
      <c r="I93" s="118" t="s">
        <v>431</v>
      </c>
      <c r="J93" s="119"/>
      <c r="K93" s="120"/>
    </row>
    <row r="94" spans="1:11" ht="37.5" customHeight="1">
      <c r="A94" s="93" t="s">
        <v>144</v>
      </c>
      <c r="B94" s="94" t="s">
        <v>145</v>
      </c>
      <c r="C94" s="124">
        <f>Activities!L83</f>
        <v>0</v>
      </c>
      <c r="D94" s="124">
        <f>Activities!J83</f>
        <v>154875</v>
      </c>
      <c r="E94" s="116">
        <f>+D94-C94</f>
        <v>154875</v>
      </c>
      <c r="F94" s="124">
        <f>Activities!L83+Activities!M83</f>
        <v>0</v>
      </c>
      <c r="G94" s="115">
        <f>Activities!J83+Activities!K83</f>
        <v>154875</v>
      </c>
      <c r="H94" s="96">
        <f>G94-F94</f>
        <v>154875</v>
      </c>
      <c r="I94" s="118" t="s">
        <v>431</v>
      </c>
      <c r="J94" s="119"/>
      <c r="K94" s="120"/>
    </row>
    <row r="95" spans="1:11" ht="37.5" customHeight="1">
      <c r="A95" s="93" t="s">
        <v>146</v>
      </c>
      <c r="B95" s="94" t="s">
        <v>147</v>
      </c>
      <c r="C95" s="124">
        <f>Activities!L84</f>
        <v>0</v>
      </c>
      <c r="D95" s="124">
        <f>Activities!J84</f>
        <v>154875</v>
      </c>
      <c r="E95" s="116">
        <f>+D95-C95</f>
        <v>154875</v>
      </c>
      <c r="F95" s="124">
        <f>Activities!L84+Activities!M84</f>
        <v>149450</v>
      </c>
      <c r="G95" s="115">
        <f>Activities!J84+Activities!K84</f>
        <v>154875</v>
      </c>
      <c r="H95" s="96">
        <f>G95-F95</f>
        <v>5425</v>
      </c>
      <c r="I95" s="118" t="s">
        <v>431</v>
      </c>
      <c r="J95" s="119"/>
      <c r="K95" s="120"/>
    </row>
    <row r="96" spans="1:11" ht="37.5" customHeight="1">
      <c r="A96" s="136"/>
      <c r="B96" s="114" t="s">
        <v>57</v>
      </c>
      <c r="C96" s="128">
        <f>SUM(C93:C95)</f>
        <v>0</v>
      </c>
      <c r="D96" s="128">
        <f>SUM(D93:D95)</f>
        <v>387187.5</v>
      </c>
      <c r="E96" s="128">
        <f>SUM(E93:E95)</f>
        <v>387187.5</v>
      </c>
      <c r="F96" s="128">
        <f>SUM(F93:F95)</f>
        <v>149450</v>
      </c>
      <c r="G96" s="128">
        <f>SUM(G93:G95)</f>
        <v>464625</v>
      </c>
      <c r="H96" s="128">
        <f>SUM(H93:H95)</f>
        <v>315175</v>
      </c>
      <c r="I96" s="118"/>
      <c r="J96" s="119"/>
      <c r="K96" s="120"/>
    </row>
    <row r="97" spans="1:11" ht="37.5" customHeight="1">
      <c r="A97" s="136">
        <v>3.2</v>
      </c>
      <c r="B97" s="114" t="s">
        <v>148</v>
      </c>
      <c r="C97" s="115"/>
      <c r="D97" s="115"/>
      <c r="E97" s="116"/>
      <c r="F97" s="117"/>
      <c r="G97" s="115"/>
      <c r="H97" s="121"/>
      <c r="I97" s="118"/>
      <c r="J97" s="119"/>
      <c r="K97" s="120"/>
    </row>
    <row r="98" spans="1:11" ht="37.5" customHeight="1">
      <c r="A98" s="131" t="s">
        <v>149</v>
      </c>
      <c r="B98" s="94" t="s">
        <v>150</v>
      </c>
      <c r="C98" s="124">
        <f>Activities!L87</f>
        <v>0</v>
      </c>
      <c r="D98" s="124">
        <f>Activities!J87</f>
        <v>0</v>
      </c>
      <c r="E98" s="116">
        <f>+D98-C98</f>
        <v>0</v>
      </c>
      <c r="F98" s="124">
        <f>Activities!L87+Activities!M87</f>
        <v>0</v>
      </c>
      <c r="G98" s="115">
        <f>Activities!J87+Activities!K87</f>
        <v>516250</v>
      </c>
      <c r="H98" s="96">
        <f>G98-F98</f>
        <v>516250</v>
      </c>
      <c r="I98" s="118"/>
      <c r="J98" s="119"/>
      <c r="K98" s="120"/>
    </row>
    <row r="99" spans="1:11" ht="37.5" customHeight="1">
      <c r="A99" s="131" t="s">
        <v>151</v>
      </c>
      <c r="B99" s="94" t="s">
        <v>152</v>
      </c>
      <c r="C99" s="124">
        <f>Activities!L88</f>
        <v>0</v>
      </c>
      <c r="D99" s="124">
        <f>Activities!J88</f>
        <v>1652000</v>
      </c>
      <c r="E99" s="116">
        <f>+D99-C99</f>
        <v>1652000</v>
      </c>
      <c r="F99" s="124">
        <f>Activities!L88+Activities!M88</f>
        <v>0</v>
      </c>
      <c r="G99" s="115">
        <f>Activities!J88+Activities!K88</f>
        <v>3717000</v>
      </c>
      <c r="H99" s="96">
        <f>G99-F99</f>
        <v>3717000</v>
      </c>
      <c r="I99" s="118" t="s">
        <v>431</v>
      </c>
      <c r="J99" s="119"/>
      <c r="K99" s="120"/>
    </row>
    <row r="100" spans="1:11" ht="37.5" customHeight="1">
      <c r="A100" s="136"/>
      <c r="B100" s="114" t="s">
        <v>57</v>
      </c>
      <c r="C100" s="128">
        <f>SUM(C98:C99)</f>
        <v>0</v>
      </c>
      <c r="D100" s="128">
        <f>SUM(D98:D99)</f>
        <v>1652000</v>
      </c>
      <c r="E100" s="128">
        <f>SUM(E98:E99)</f>
        <v>1652000</v>
      </c>
      <c r="F100" s="128">
        <f>SUM(F98:F99)</f>
        <v>0</v>
      </c>
      <c r="G100" s="128">
        <f>SUM(G98:G99)</f>
        <v>4233250</v>
      </c>
      <c r="H100" s="128">
        <f>SUM(H98:H99)</f>
        <v>4233250</v>
      </c>
      <c r="I100" s="118"/>
      <c r="J100" s="119"/>
      <c r="K100" s="120"/>
    </row>
    <row r="101" spans="1:11" ht="37.5" customHeight="1">
      <c r="A101" s="136">
        <v>3.3</v>
      </c>
      <c r="B101" s="114" t="s">
        <v>153</v>
      </c>
      <c r="C101" s="115"/>
      <c r="D101" s="115"/>
      <c r="E101" s="116"/>
      <c r="F101" s="117"/>
      <c r="G101" s="115"/>
      <c r="H101" s="121"/>
      <c r="I101" s="118"/>
      <c r="J101" s="119"/>
      <c r="K101" s="120"/>
    </row>
    <row r="102" spans="1:11" ht="37.5" customHeight="1">
      <c r="A102" s="127" t="s">
        <v>154</v>
      </c>
      <c r="B102" s="129" t="s">
        <v>155</v>
      </c>
      <c r="C102" s="124">
        <f>Activities!L91</f>
        <v>428500</v>
      </c>
      <c r="D102" s="124">
        <f>Activities!J91</f>
        <v>516250</v>
      </c>
      <c r="E102" s="116">
        <f>+D102-C102</f>
        <v>87750</v>
      </c>
      <c r="F102" s="124">
        <f>Activities!L91+Activities!M91</f>
        <v>428500</v>
      </c>
      <c r="G102" s="115">
        <f>Activities!J91+Activities!K91</f>
        <v>516250</v>
      </c>
      <c r="H102" s="96">
        <f>G102-F102</f>
        <v>87750</v>
      </c>
      <c r="I102" s="118" t="s">
        <v>429</v>
      </c>
      <c r="J102" s="119"/>
      <c r="K102" s="120"/>
    </row>
    <row r="103" spans="1:11" ht="37.5" customHeight="1">
      <c r="A103" s="131" t="s">
        <v>156</v>
      </c>
      <c r="B103" s="94" t="s">
        <v>155</v>
      </c>
      <c r="C103" s="124">
        <f>Activities!L92</f>
        <v>0</v>
      </c>
      <c r="D103" s="124">
        <f>Activities!J92</f>
        <v>258125</v>
      </c>
      <c r="E103" s="116">
        <f>+D103-C103</f>
        <v>258125</v>
      </c>
      <c r="F103" s="124">
        <f>Activities!L92+Activities!M92</f>
        <v>0</v>
      </c>
      <c r="G103" s="115">
        <f>Activities!J92+Activities!K92</f>
        <v>516250</v>
      </c>
      <c r="H103" s="96">
        <f>G103-F103</f>
        <v>516250</v>
      </c>
      <c r="I103" s="118"/>
      <c r="J103" s="119"/>
      <c r="K103" s="120"/>
    </row>
    <row r="104" spans="1:11" ht="37.5" customHeight="1">
      <c r="A104" s="136"/>
      <c r="B104" s="114" t="s">
        <v>57</v>
      </c>
      <c r="C104" s="128">
        <f>SUM(C102:C103)</f>
        <v>428500</v>
      </c>
      <c r="D104" s="128">
        <f>SUM(D102:D103)</f>
        <v>774375</v>
      </c>
      <c r="E104" s="128">
        <f>SUM(E102:E103)</f>
        <v>345875</v>
      </c>
      <c r="F104" s="128">
        <f>SUM(F102:F103)</f>
        <v>428500</v>
      </c>
      <c r="G104" s="128">
        <f>SUM(G102:G103)</f>
        <v>1032500</v>
      </c>
      <c r="H104" s="128">
        <f>SUM(H102:H103)</f>
        <v>604000</v>
      </c>
      <c r="I104" s="118"/>
      <c r="J104" s="119"/>
      <c r="K104" s="120"/>
    </row>
    <row r="105" spans="1:11" ht="37.5" customHeight="1">
      <c r="A105" s="136">
        <v>3.4</v>
      </c>
      <c r="B105" s="114" t="s">
        <v>157</v>
      </c>
      <c r="C105" s="115"/>
      <c r="D105" s="115"/>
      <c r="E105" s="116"/>
      <c r="F105" s="117"/>
      <c r="G105" s="115"/>
      <c r="H105" s="121"/>
      <c r="I105" s="118"/>
      <c r="J105" s="119"/>
      <c r="K105" s="120"/>
    </row>
    <row r="106" spans="1:11" ht="37.5" customHeight="1">
      <c r="A106" s="131" t="s">
        <v>158</v>
      </c>
      <c r="B106" s="94" t="s">
        <v>159</v>
      </c>
      <c r="C106" s="124">
        <f>Activities!L95</f>
        <v>0</v>
      </c>
      <c r="D106" s="124">
        <f>Activities!J95</f>
        <v>516250</v>
      </c>
      <c r="E106" s="116">
        <f>+D106-C106</f>
        <v>516250</v>
      </c>
      <c r="F106" s="124">
        <f>Activities!L95+Activities!M95</f>
        <v>0</v>
      </c>
      <c r="G106" s="115">
        <f>Activities!J95+Activities!K95</f>
        <v>1548750</v>
      </c>
      <c r="H106" s="96">
        <f>G106-F106</f>
        <v>1548750</v>
      </c>
      <c r="I106" s="118" t="s">
        <v>431</v>
      </c>
      <c r="J106" s="119"/>
      <c r="K106" s="120"/>
    </row>
    <row r="107" spans="1:11" ht="37.5" customHeight="1">
      <c r="A107" s="136"/>
      <c r="B107" s="114" t="s">
        <v>57</v>
      </c>
      <c r="C107" s="128">
        <f>SUM(C106)</f>
        <v>0</v>
      </c>
      <c r="D107" s="128">
        <f>SUM(D106)</f>
        <v>516250</v>
      </c>
      <c r="E107" s="128">
        <f>SUM(E106)</f>
        <v>516250</v>
      </c>
      <c r="F107" s="128">
        <f>SUM(F106)</f>
        <v>0</v>
      </c>
      <c r="G107" s="128">
        <f>SUM(G106)</f>
        <v>1548750</v>
      </c>
      <c r="H107" s="128">
        <f>SUM(H106)</f>
        <v>1548750</v>
      </c>
      <c r="I107" s="118"/>
      <c r="J107" s="119"/>
      <c r="K107" s="120"/>
    </row>
    <row r="108" spans="1:11" ht="37.5" customHeight="1">
      <c r="A108" s="136">
        <v>3.6</v>
      </c>
      <c r="B108" s="114" t="s">
        <v>160</v>
      </c>
      <c r="C108" s="141"/>
      <c r="D108" s="141"/>
      <c r="E108" s="116"/>
      <c r="F108" s="117"/>
      <c r="G108" s="115"/>
      <c r="H108" s="121"/>
      <c r="I108" s="118"/>
      <c r="J108" s="119"/>
      <c r="K108" s="120"/>
    </row>
    <row r="109" spans="1:11" ht="37.5" customHeight="1">
      <c r="A109" s="127" t="s">
        <v>161</v>
      </c>
      <c r="B109" s="142" t="s">
        <v>432</v>
      </c>
      <c r="C109" s="124">
        <f>Activities!L98</f>
        <v>189200</v>
      </c>
      <c r="D109" s="124">
        <f>Activities!J98</f>
        <v>361375</v>
      </c>
      <c r="E109" s="116">
        <f>+D109-C109</f>
        <v>172175</v>
      </c>
      <c r="F109" s="124">
        <f>Activities!L98+Activities!M98</f>
        <v>189200</v>
      </c>
      <c r="G109" s="115">
        <f>Activities!J98+Activities!K98</f>
        <v>361375</v>
      </c>
      <c r="H109" s="96">
        <f>G109-F109</f>
        <v>172175</v>
      </c>
      <c r="I109" s="118" t="s">
        <v>429</v>
      </c>
      <c r="J109" s="119"/>
      <c r="K109" s="120"/>
    </row>
    <row r="110" spans="1:11" ht="37.5" customHeight="1">
      <c r="A110" s="131" t="s">
        <v>163</v>
      </c>
      <c r="B110" s="94" t="s">
        <v>162</v>
      </c>
      <c r="C110" s="124">
        <f>Activities!L99</f>
        <v>0</v>
      </c>
      <c r="D110" s="124">
        <f>Activities!J99</f>
        <v>361375</v>
      </c>
      <c r="E110" s="116">
        <f>+D110-C110</f>
        <v>361375</v>
      </c>
      <c r="F110" s="124">
        <f>Activities!L99+Activities!M99</f>
        <v>0</v>
      </c>
      <c r="G110" s="115">
        <f>Activities!J99+Activities!K99</f>
        <v>361375</v>
      </c>
      <c r="H110" s="96">
        <f>G110-F110</f>
        <v>361375</v>
      </c>
      <c r="I110" s="118" t="s">
        <v>434</v>
      </c>
      <c r="J110" s="119"/>
      <c r="K110" s="120"/>
    </row>
    <row r="111" spans="1:11" ht="37.5" customHeight="1">
      <c r="A111" s="127" t="s">
        <v>164</v>
      </c>
      <c r="B111" s="142" t="s">
        <v>165</v>
      </c>
      <c r="C111" s="124">
        <f>Activities!L100</f>
        <v>0</v>
      </c>
      <c r="D111" s="124">
        <f>Activities!J100</f>
        <v>0</v>
      </c>
      <c r="E111" s="116">
        <f>+D111-C111</f>
        <v>0</v>
      </c>
      <c r="F111" s="124">
        <f>Activities!L100+Activities!M100</f>
        <v>0</v>
      </c>
      <c r="G111" s="115">
        <f>Activities!J100+Activities!K100</f>
        <v>0</v>
      </c>
      <c r="H111" s="96">
        <f>G111-F111</f>
        <v>0</v>
      </c>
      <c r="I111" s="118"/>
      <c r="J111" s="119"/>
      <c r="K111" s="120"/>
    </row>
    <row r="112" spans="1:11" ht="37.5" customHeight="1">
      <c r="A112" s="131" t="s">
        <v>166</v>
      </c>
      <c r="B112" s="94" t="s">
        <v>165</v>
      </c>
      <c r="C112" s="124">
        <f>Activities!L101</f>
        <v>0</v>
      </c>
      <c r="D112" s="124">
        <f>Activities!J101</f>
        <v>309750</v>
      </c>
      <c r="E112" s="116">
        <f>+D112-C112</f>
        <v>309750</v>
      </c>
      <c r="F112" s="124">
        <f>Activities!L101+Activities!M101</f>
        <v>149000</v>
      </c>
      <c r="G112" s="115">
        <f>Activities!J101+Activities!K101</f>
        <v>309750</v>
      </c>
      <c r="H112" s="96">
        <f>G112-F112</f>
        <v>160750</v>
      </c>
      <c r="I112" s="118" t="s">
        <v>433</v>
      </c>
      <c r="J112" s="119"/>
      <c r="K112" s="120"/>
    </row>
    <row r="113" spans="1:11" ht="37.5" customHeight="1">
      <c r="A113" s="136"/>
      <c r="B113" s="114" t="s">
        <v>57</v>
      </c>
      <c r="C113" s="128">
        <f>SUM(C109:C112)</f>
        <v>189200</v>
      </c>
      <c r="D113" s="128">
        <f>SUM(D109:D112)</f>
        <v>1032500</v>
      </c>
      <c r="E113" s="128">
        <f>SUM(E109:E112)</f>
        <v>843300</v>
      </c>
      <c r="F113" s="128">
        <f>SUM(F109:F112)</f>
        <v>338200</v>
      </c>
      <c r="G113" s="128">
        <f>SUM(G109:G112)</f>
        <v>1032500</v>
      </c>
      <c r="H113" s="128">
        <f>SUM(H109:H112)</f>
        <v>694300</v>
      </c>
      <c r="I113" s="118"/>
      <c r="J113" s="119"/>
      <c r="K113" s="120"/>
    </row>
    <row r="114" spans="1:11" ht="37.5" customHeight="1">
      <c r="A114" s="136">
        <v>3.7</v>
      </c>
      <c r="B114" s="114" t="s">
        <v>167</v>
      </c>
      <c r="C114" s="115"/>
      <c r="D114" s="115"/>
      <c r="E114" s="116"/>
      <c r="F114" s="117"/>
      <c r="G114" s="115"/>
      <c r="H114" s="121"/>
      <c r="I114" s="118"/>
      <c r="J114" s="119"/>
      <c r="K114" s="120"/>
    </row>
    <row r="115" spans="1:11" ht="44.25" customHeight="1">
      <c r="A115" s="127" t="s">
        <v>168</v>
      </c>
      <c r="B115" s="129" t="s">
        <v>169</v>
      </c>
      <c r="C115" s="124">
        <f>Activities!L104</f>
        <v>0</v>
      </c>
      <c r="D115" s="124">
        <f>Activities!J104</f>
        <v>516250</v>
      </c>
      <c r="E115" s="116">
        <f>+D115-C115</f>
        <v>516250</v>
      </c>
      <c r="F115" s="124">
        <f>Activities!L104+Activities!M104</f>
        <v>0</v>
      </c>
      <c r="G115" s="115">
        <f>Activities!J104+Activities!K104</f>
        <v>516250</v>
      </c>
      <c r="H115" s="96">
        <f>G115-F115</f>
        <v>516250</v>
      </c>
      <c r="I115" s="118"/>
      <c r="J115" s="119"/>
      <c r="K115" s="120"/>
    </row>
    <row r="116" spans="1:11" ht="47.25" customHeight="1">
      <c r="A116" s="131" t="s">
        <v>170</v>
      </c>
      <c r="B116" s="94" t="s">
        <v>169</v>
      </c>
      <c r="C116" s="124">
        <f>Activities!L105</f>
        <v>0</v>
      </c>
      <c r="D116" s="124">
        <f>Activities!J105</f>
        <v>516250</v>
      </c>
      <c r="E116" s="116">
        <f>+D116-C116</f>
        <v>516250</v>
      </c>
      <c r="F116" s="124">
        <f>Activities!L105+Activities!M105</f>
        <v>978574</v>
      </c>
      <c r="G116" s="115">
        <f>Activities!J105+Activities!K105</f>
        <v>1548750</v>
      </c>
      <c r="H116" s="96">
        <f>G116-F116</f>
        <v>570176</v>
      </c>
      <c r="I116" s="118"/>
      <c r="J116" s="119"/>
      <c r="K116" s="120"/>
    </row>
    <row r="117" spans="1:11" ht="37.5" customHeight="1">
      <c r="A117" s="136"/>
      <c r="B117" s="114" t="s">
        <v>57</v>
      </c>
      <c r="C117" s="128">
        <f>SUM(C115:C116)</f>
        <v>0</v>
      </c>
      <c r="D117" s="128">
        <f>SUM(D115:D116)</f>
        <v>1032500</v>
      </c>
      <c r="E117" s="128">
        <f>SUM(E115:E116)</f>
        <v>1032500</v>
      </c>
      <c r="F117" s="128">
        <f>SUM(F115:F116)</f>
        <v>978574</v>
      </c>
      <c r="G117" s="128">
        <f>SUM(G115:G116)</f>
        <v>2065000</v>
      </c>
      <c r="H117" s="128">
        <f>SUM(H115:H116)</f>
        <v>1086426</v>
      </c>
      <c r="I117" s="118"/>
      <c r="J117" s="119"/>
      <c r="K117" s="120"/>
    </row>
    <row r="118" spans="1:11" ht="37.5" customHeight="1">
      <c r="A118" s="143"/>
      <c r="B118" s="134" t="s">
        <v>171</v>
      </c>
      <c r="C118" s="135">
        <f>+C96+C100+C104+C107+C113+C117</f>
        <v>617700</v>
      </c>
      <c r="D118" s="135">
        <f>+D96+D100+D104+D107+D113+D117</f>
        <v>5394812.5</v>
      </c>
      <c r="E118" s="135">
        <f>+E96+E100+E104+E107+E113+E117</f>
        <v>4777112.5</v>
      </c>
      <c r="F118" s="135">
        <f>+F96+F100+F104+F107+F113+F117</f>
        <v>1894724</v>
      </c>
      <c r="G118" s="135">
        <f>+G96+G100+G104+G107+G113+G117</f>
        <v>10376625</v>
      </c>
      <c r="H118" s="135">
        <f>+H96+H100+H104+H107+H113+H117</f>
        <v>8481901</v>
      </c>
      <c r="I118" s="118"/>
      <c r="J118" s="119"/>
      <c r="K118" s="120"/>
    </row>
    <row r="119" spans="1:11" ht="37.5" customHeight="1">
      <c r="A119" s="113">
        <v>4</v>
      </c>
      <c r="B119" s="114" t="s">
        <v>139</v>
      </c>
      <c r="C119" s="115"/>
      <c r="D119" s="115"/>
      <c r="E119" s="116"/>
      <c r="F119" s="117"/>
      <c r="G119" s="115"/>
      <c r="H119" s="121"/>
      <c r="I119" s="118"/>
      <c r="J119" s="119"/>
      <c r="K119" s="120"/>
    </row>
    <row r="120" spans="1:11" ht="37.5" customHeight="1">
      <c r="A120" s="113">
        <v>4.1</v>
      </c>
      <c r="B120" s="114" t="s">
        <v>172</v>
      </c>
      <c r="C120" s="115"/>
      <c r="D120" s="115"/>
      <c r="E120" s="116"/>
      <c r="F120" s="117"/>
      <c r="G120" s="115"/>
      <c r="H120" s="121"/>
      <c r="I120" s="118"/>
      <c r="J120" s="119"/>
      <c r="K120" s="120"/>
    </row>
    <row r="121" spans="1:11" ht="37.5" customHeight="1">
      <c r="A121" s="139" t="s">
        <v>173</v>
      </c>
      <c r="B121" s="144" t="s">
        <v>174</v>
      </c>
      <c r="C121" s="124">
        <f>Activities!L110</f>
        <v>4800425</v>
      </c>
      <c r="D121" s="124">
        <f>Activities!J110</f>
        <v>4990279</v>
      </c>
      <c r="E121" s="116">
        <f aca="true" t="shared" si="6" ref="E121:E168">+D121-C121</f>
        <v>189854</v>
      </c>
      <c r="F121" s="124">
        <f>Activities!L110+Activities!M110</f>
        <v>4800425</v>
      </c>
      <c r="G121" s="115">
        <f>Activities!J110+Activities!K110</f>
        <v>4990279</v>
      </c>
      <c r="H121" s="96">
        <f aca="true" t="shared" si="7" ref="H121:H168">G121-F121</f>
        <v>189854</v>
      </c>
      <c r="I121" s="118" t="s">
        <v>429</v>
      </c>
      <c r="J121" s="119"/>
      <c r="K121" s="120"/>
    </row>
    <row r="122" spans="1:11" ht="37.5" customHeight="1">
      <c r="A122" s="93" t="s">
        <v>175</v>
      </c>
      <c r="B122" s="145" t="s">
        <v>176</v>
      </c>
      <c r="C122" s="124">
        <f>Activities!L111</f>
        <v>0</v>
      </c>
      <c r="D122" s="124">
        <f>Activities!J111</f>
        <v>0</v>
      </c>
      <c r="E122" s="116">
        <f t="shared" si="6"/>
        <v>0</v>
      </c>
      <c r="F122" s="124">
        <f>Activities!L111+Activities!M111</f>
        <v>0</v>
      </c>
      <c r="G122" s="115">
        <f>Activities!J111+Activities!K111</f>
        <v>2581250</v>
      </c>
      <c r="H122" s="96">
        <f t="shared" si="7"/>
        <v>2581250</v>
      </c>
      <c r="I122" s="118"/>
      <c r="J122" s="119"/>
      <c r="K122" s="120"/>
    </row>
    <row r="123" spans="1:11" ht="37.5" customHeight="1">
      <c r="A123" s="139" t="s">
        <v>177</v>
      </c>
      <c r="B123" s="144" t="s">
        <v>178</v>
      </c>
      <c r="C123" s="124">
        <f>Activities!L112</f>
        <v>0</v>
      </c>
      <c r="D123" s="124">
        <f>Activities!J112</f>
        <v>516250</v>
      </c>
      <c r="E123" s="116">
        <f t="shared" si="6"/>
        <v>516250</v>
      </c>
      <c r="F123" s="124">
        <f>Activities!L112+Activities!M112</f>
        <v>0</v>
      </c>
      <c r="G123" s="115">
        <f>Activities!J112+Activities!K112</f>
        <v>516250</v>
      </c>
      <c r="H123" s="96">
        <f t="shared" si="7"/>
        <v>516250</v>
      </c>
      <c r="I123" s="118" t="s">
        <v>435</v>
      </c>
      <c r="J123" s="119"/>
      <c r="K123" s="120"/>
    </row>
    <row r="124" spans="1:11" ht="37.5" customHeight="1">
      <c r="A124" s="93" t="s">
        <v>179</v>
      </c>
      <c r="B124" s="145" t="s">
        <v>180</v>
      </c>
      <c r="C124" s="124">
        <f>Activities!L113</f>
        <v>0</v>
      </c>
      <c r="D124" s="124">
        <f>Activities!J113</f>
        <v>0</v>
      </c>
      <c r="E124" s="116">
        <f t="shared" si="6"/>
        <v>0</v>
      </c>
      <c r="F124" s="124">
        <f>Activities!L113+Activities!M113</f>
        <v>4833178</v>
      </c>
      <c r="G124" s="115">
        <f>Activities!J113+Activities!K113</f>
        <v>4646250</v>
      </c>
      <c r="H124" s="96">
        <f t="shared" si="7"/>
        <v>-186928</v>
      </c>
      <c r="I124" s="118" t="s">
        <v>429</v>
      </c>
      <c r="J124" s="119"/>
      <c r="K124" s="120"/>
    </row>
    <row r="125" spans="1:11" ht="37.5" customHeight="1">
      <c r="A125" s="139" t="s">
        <v>181</v>
      </c>
      <c r="B125" s="144" t="s">
        <v>182</v>
      </c>
      <c r="C125" s="124">
        <f>Activities!L114</f>
        <v>2819557</v>
      </c>
      <c r="D125" s="124">
        <f>Activities!J114</f>
        <v>2911237</v>
      </c>
      <c r="E125" s="116">
        <f t="shared" si="6"/>
        <v>91680</v>
      </c>
      <c r="F125" s="124">
        <f>Activities!L114+Activities!M114</f>
        <v>2819557</v>
      </c>
      <c r="G125" s="115">
        <f>Activities!J114+Activities!K114</f>
        <v>2911237</v>
      </c>
      <c r="H125" s="96">
        <f t="shared" si="7"/>
        <v>91680</v>
      </c>
      <c r="I125" s="118" t="s">
        <v>429</v>
      </c>
      <c r="J125" s="119"/>
      <c r="K125" s="120"/>
    </row>
    <row r="126" spans="1:11" ht="37.5" customHeight="1">
      <c r="A126" s="93" t="s">
        <v>183</v>
      </c>
      <c r="B126" s="145" t="s">
        <v>184</v>
      </c>
      <c r="C126" s="124">
        <f>Activities!L115</f>
        <v>0</v>
      </c>
      <c r="D126" s="124">
        <f>Activities!J115</f>
        <v>0</v>
      </c>
      <c r="E126" s="116">
        <f t="shared" si="6"/>
        <v>0</v>
      </c>
      <c r="F126" s="124">
        <f>Activities!L115+Activities!M115</f>
        <v>0</v>
      </c>
      <c r="G126" s="115">
        <f>Activities!J115+Activities!K115</f>
        <v>3613750</v>
      </c>
      <c r="H126" s="96">
        <f t="shared" si="7"/>
        <v>3613750</v>
      </c>
      <c r="I126" s="118"/>
      <c r="J126" s="119"/>
      <c r="K126" s="120"/>
    </row>
    <row r="127" spans="1:11" ht="37.5" customHeight="1">
      <c r="A127" s="139" t="s">
        <v>185</v>
      </c>
      <c r="B127" s="144" t="s">
        <v>186</v>
      </c>
      <c r="C127" s="124">
        <f>Activities!L116</f>
        <v>0</v>
      </c>
      <c r="D127" s="124">
        <f>Activities!J116</f>
        <v>1802538.5</v>
      </c>
      <c r="E127" s="116">
        <f t="shared" si="6"/>
        <v>1802538.5</v>
      </c>
      <c r="F127" s="124">
        <f>Activities!L116+Activities!M116</f>
        <v>0</v>
      </c>
      <c r="G127" s="115">
        <f>Activities!J116+Activities!K116</f>
        <v>1802538.5</v>
      </c>
      <c r="H127" s="96">
        <f t="shared" si="7"/>
        <v>1802538.5</v>
      </c>
      <c r="I127" s="118" t="s">
        <v>435</v>
      </c>
      <c r="J127" s="119"/>
      <c r="K127" s="120"/>
    </row>
    <row r="128" spans="1:11" ht="37.5" customHeight="1">
      <c r="A128" s="93" t="s">
        <v>187</v>
      </c>
      <c r="B128" s="145" t="s">
        <v>188</v>
      </c>
      <c r="C128" s="124">
        <f>Activities!L117</f>
        <v>0</v>
      </c>
      <c r="D128" s="124">
        <f>Activities!J117</f>
        <v>0</v>
      </c>
      <c r="E128" s="116">
        <f t="shared" si="6"/>
        <v>0</v>
      </c>
      <c r="F128" s="124">
        <f>Activities!L117+Activities!M117</f>
        <v>0</v>
      </c>
      <c r="G128" s="115">
        <f>Activities!J117+Activities!K117</f>
        <v>1239000</v>
      </c>
      <c r="H128" s="96">
        <f t="shared" si="7"/>
        <v>1239000</v>
      </c>
      <c r="I128" s="118"/>
      <c r="J128" s="119"/>
      <c r="K128" s="120"/>
    </row>
    <row r="129" spans="1:11" ht="37.5" customHeight="1">
      <c r="A129" s="139" t="s">
        <v>189</v>
      </c>
      <c r="B129" s="144" t="s">
        <v>190</v>
      </c>
      <c r="C129" s="124">
        <f>Activities!L118</f>
        <v>380000</v>
      </c>
      <c r="D129" s="124">
        <f>Activities!J118</f>
        <v>392350</v>
      </c>
      <c r="E129" s="116">
        <f t="shared" si="6"/>
        <v>12350</v>
      </c>
      <c r="F129" s="124">
        <f>Activities!L118+Activities!M118</f>
        <v>380000</v>
      </c>
      <c r="G129" s="115">
        <f>Activities!J118+Activities!K118</f>
        <v>392350</v>
      </c>
      <c r="H129" s="96">
        <f t="shared" si="7"/>
        <v>12350</v>
      </c>
      <c r="I129" s="118" t="s">
        <v>435</v>
      </c>
      <c r="J129" s="119"/>
      <c r="K129" s="120"/>
    </row>
    <row r="130" spans="1:11" ht="37.5" customHeight="1">
      <c r="A130" s="93" t="s">
        <v>191</v>
      </c>
      <c r="B130" s="145" t="s">
        <v>192</v>
      </c>
      <c r="C130" s="124">
        <f>Activities!L119</f>
        <v>0</v>
      </c>
      <c r="D130" s="124">
        <f>Activities!J119</f>
        <v>0</v>
      </c>
      <c r="E130" s="116">
        <f t="shared" si="6"/>
        <v>0</v>
      </c>
      <c r="F130" s="124">
        <f>Activities!L119+Activities!M119</f>
        <v>0</v>
      </c>
      <c r="G130" s="115">
        <f>Activities!J119+Activities!K119</f>
        <v>464625</v>
      </c>
      <c r="H130" s="96">
        <f t="shared" si="7"/>
        <v>464625</v>
      </c>
      <c r="I130" s="118"/>
      <c r="J130" s="119"/>
      <c r="K130" s="120"/>
    </row>
    <row r="131" spans="1:11" ht="37.5" customHeight="1">
      <c r="A131" s="139" t="s">
        <v>193</v>
      </c>
      <c r="B131" s="144" t="s">
        <v>194</v>
      </c>
      <c r="C131" s="124">
        <f>Activities!L120</f>
        <v>0</v>
      </c>
      <c r="D131" s="124">
        <f>Activities!J120</f>
        <v>103766.25</v>
      </c>
      <c r="E131" s="116">
        <f t="shared" si="6"/>
        <v>103766.25</v>
      </c>
      <c r="F131" s="124">
        <f>Activities!L120+Activities!M120</f>
        <v>0</v>
      </c>
      <c r="G131" s="115">
        <f>Activities!J120+Activities!K120</f>
        <v>103766.25</v>
      </c>
      <c r="H131" s="96">
        <f t="shared" si="7"/>
        <v>103766.25</v>
      </c>
      <c r="I131" s="118" t="s">
        <v>435</v>
      </c>
      <c r="J131" s="119"/>
      <c r="K131" s="120"/>
    </row>
    <row r="132" spans="1:11" ht="37.5" customHeight="1">
      <c r="A132" s="93" t="s">
        <v>195</v>
      </c>
      <c r="B132" s="145" t="s">
        <v>196</v>
      </c>
      <c r="C132" s="124">
        <f>Activities!L121</f>
        <v>0</v>
      </c>
      <c r="D132" s="124">
        <f>Activities!J121</f>
        <v>0</v>
      </c>
      <c r="E132" s="116">
        <f t="shared" si="6"/>
        <v>0</v>
      </c>
      <c r="F132" s="124">
        <f>Activities!L121+Activities!M121</f>
        <v>0</v>
      </c>
      <c r="G132" s="115">
        <f>Activities!J121+Activities!K121</f>
        <v>567875</v>
      </c>
      <c r="H132" s="96">
        <f t="shared" si="7"/>
        <v>567875</v>
      </c>
      <c r="I132" s="118"/>
      <c r="J132" s="119"/>
      <c r="K132" s="120"/>
    </row>
    <row r="133" spans="1:11" ht="37.5" customHeight="1">
      <c r="A133" s="139" t="s">
        <v>197</v>
      </c>
      <c r="B133" s="144" t="s">
        <v>198</v>
      </c>
      <c r="C133" s="124">
        <f>Activities!L122</f>
        <v>0</v>
      </c>
      <c r="D133" s="124">
        <f>Activities!J122</f>
        <v>78883</v>
      </c>
      <c r="E133" s="116">
        <f t="shared" si="6"/>
        <v>78883</v>
      </c>
      <c r="F133" s="124">
        <f>Activities!L122+Activities!M122</f>
        <v>0</v>
      </c>
      <c r="G133" s="115">
        <f>Activities!J122+Activities!K122</f>
        <v>78883</v>
      </c>
      <c r="H133" s="96">
        <f t="shared" si="7"/>
        <v>78883</v>
      </c>
      <c r="I133" s="118" t="s">
        <v>435</v>
      </c>
      <c r="J133" s="119"/>
      <c r="K133" s="120"/>
    </row>
    <row r="134" spans="1:11" ht="37.5" customHeight="1">
      <c r="A134" s="93" t="s">
        <v>199</v>
      </c>
      <c r="B134" s="145" t="s">
        <v>200</v>
      </c>
      <c r="C134" s="124">
        <f>Activities!L123</f>
        <v>0</v>
      </c>
      <c r="D134" s="124">
        <f>Activities!J123</f>
        <v>0</v>
      </c>
      <c r="E134" s="116">
        <f t="shared" si="6"/>
        <v>0</v>
      </c>
      <c r="F134" s="124">
        <f>Activities!L123+Activities!M123</f>
        <v>0</v>
      </c>
      <c r="G134" s="115">
        <f>Activities!J123+Activities!K123</f>
        <v>2581250</v>
      </c>
      <c r="H134" s="96">
        <f t="shared" si="7"/>
        <v>2581250</v>
      </c>
      <c r="I134" s="118"/>
      <c r="J134" s="119"/>
      <c r="K134" s="120"/>
    </row>
    <row r="135" spans="1:11" ht="37.5" customHeight="1">
      <c r="A135" s="139" t="s">
        <v>201</v>
      </c>
      <c r="B135" s="144" t="s">
        <v>202</v>
      </c>
      <c r="C135" s="124">
        <f>Activities!L124</f>
        <v>0</v>
      </c>
      <c r="D135" s="124">
        <f>Activities!J124</f>
        <v>301490</v>
      </c>
      <c r="E135" s="116">
        <f t="shared" si="6"/>
        <v>301490</v>
      </c>
      <c r="F135" s="124">
        <f>Activities!L124+Activities!M124</f>
        <v>0</v>
      </c>
      <c r="G135" s="115">
        <f>Activities!J124+Activities!K124</f>
        <v>301490</v>
      </c>
      <c r="H135" s="96">
        <f t="shared" si="7"/>
        <v>301490</v>
      </c>
      <c r="I135" s="118" t="s">
        <v>435</v>
      </c>
      <c r="J135" s="119"/>
      <c r="K135" s="120"/>
    </row>
    <row r="136" spans="1:11" ht="37.5" customHeight="1">
      <c r="A136" s="93" t="s">
        <v>203</v>
      </c>
      <c r="B136" s="145" t="s">
        <v>204</v>
      </c>
      <c r="C136" s="124">
        <f>Activities!L125</f>
        <v>0</v>
      </c>
      <c r="D136" s="124">
        <f>Activities!J125</f>
        <v>0</v>
      </c>
      <c r="E136" s="116">
        <f t="shared" si="6"/>
        <v>0</v>
      </c>
      <c r="F136" s="124">
        <f>Activities!L125+Activities!M125</f>
        <v>0</v>
      </c>
      <c r="G136" s="115">
        <f>Activities!J125+Activities!K125</f>
        <v>2065000</v>
      </c>
      <c r="H136" s="96">
        <f t="shared" si="7"/>
        <v>2065000</v>
      </c>
      <c r="I136" s="118"/>
      <c r="J136" s="119"/>
      <c r="K136" s="120"/>
    </row>
    <row r="137" spans="1:11" ht="37.5" customHeight="1">
      <c r="A137" s="139" t="s">
        <v>205</v>
      </c>
      <c r="B137" s="144" t="s">
        <v>206</v>
      </c>
      <c r="C137" s="124">
        <f>Activities!L126</f>
        <v>0</v>
      </c>
      <c r="D137" s="124">
        <f>Activities!J126</f>
        <v>61950</v>
      </c>
      <c r="E137" s="116">
        <f t="shared" si="6"/>
        <v>61950</v>
      </c>
      <c r="F137" s="124">
        <f>Activities!L126+Activities!M126</f>
        <v>0</v>
      </c>
      <c r="G137" s="115">
        <f>Activities!J126+Activities!K126</f>
        <v>61950</v>
      </c>
      <c r="H137" s="96">
        <f t="shared" si="7"/>
        <v>61950</v>
      </c>
      <c r="I137" s="118" t="s">
        <v>435</v>
      </c>
      <c r="J137" s="119"/>
      <c r="K137" s="120"/>
    </row>
    <row r="138" spans="1:11" ht="37.5" customHeight="1">
      <c r="A138" s="93" t="s">
        <v>207</v>
      </c>
      <c r="B138" s="94" t="s">
        <v>208</v>
      </c>
      <c r="C138" s="124">
        <f>Activities!L127</f>
        <v>0</v>
      </c>
      <c r="D138" s="124">
        <f>Activities!J127</f>
        <v>0</v>
      </c>
      <c r="E138" s="116">
        <f t="shared" si="6"/>
        <v>0</v>
      </c>
      <c r="F138" s="124">
        <f>Activities!L127+Activities!M127</f>
        <v>0</v>
      </c>
      <c r="G138" s="115">
        <f>Activities!J127+Activities!K127</f>
        <v>619500</v>
      </c>
      <c r="H138" s="96">
        <f t="shared" si="7"/>
        <v>619500</v>
      </c>
      <c r="I138" s="118"/>
      <c r="J138" s="119"/>
      <c r="K138" s="120"/>
    </row>
    <row r="139" spans="1:11" ht="37.5" customHeight="1">
      <c r="A139" s="139" t="s">
        <v>209</v>
      </c>
      <c r="B139" s="144" t="s">
        <v>210</v>
      </c>
      <c r="C139" s="124">
        <f>Activities!L128</f>
        <v>0</v>
      </c>
      <c r="D139" s="124">
        <f>Activities!J128</f>
        <v>51625</v>
      </c>
      <c r="E139" s="116">
        <f t="shared" si="6"/>
        <v>51625</v>
      </c>
      <c r="F139" s="124">
        <f>Activities!L128+Activities!M128</f>
        <v>0</v>
      </c>
      <c r="G139" s="115">
        <f>Activities!J128+Activities!K128</f>
        <v>51625</v>
      </c>
      <c r="H139" s="96">
        <f t="shared" si="7"/>
        <v>51625</v>
      </c>
      <c r="I139" s="118" t="s">
        <v>435</v>
      </c>
      <c r="J139" s="119"/>
      <c r="K139" s="120"/>
    </row>
    <row r="140" spans="1:11" ht="37.5" customHeight="1">
      <c r="A140" s="93" t="s">
        <v>211</v>
      </c>
      <c r="B140" s="94" t="s">
        <v>212</v>
      </c>
      <c r="C140" s="124">
        <f>Activities!L129</f>
        <v>0</v>
      </c>
      <c r="D140" s="124">
        <f>Activities!J129</f>
        <v>0</v>
      </c>
      <c r="E140" s="116">
        <f t="shared" si="6"/>
        <v>0</v>
      </c>
      <c r="F140" s="124">
        <f>Activities!L129+Activities!M129</f>
        <v>0</v>
      </c>
      <c r="G140" s="115">
        <f>Activities!J129+Activities!K129</f>
        <v>826000</v>
      </c>
      <c r="H140" s="96">
        <f t="shared" si="7"/>
        <v>826000</v>
      </c>
      <c r="I140" s="118"/>
      <c r="J140" s="119"/>
      <c r="K140" s="120"/>
    </row>
    <row r="141" spans="1:11" ht="37.5" customHeight="1">
      <c r="A141" s="139" t="s">
        <v>213</v>
      </c>
      <c r="B141" s="144" t="s">
        <v>214</v>
      </c>
      <c r="C141" s="124">
        <f>Activities!L130</f>
        <v>0</v>
      </c>
      <c r="D141" s="124">
        <f>Activities!J130</f>
        <v>51625</v>
      </c>
      <c r="E141" s="116">
        <f t="shared" si="6"/>
        <v>51625</v>
      </c>
      <c r="F141" s="124">
        <f>Activities!L130+Activities!M130</f>
        <v>0</v>
      </c>
      <c r="G141" s="115">
        <f>Activities!J130+Activities!K130</f>
        <v>51625</v>
      </c>
      <c r="H141" s="96">
        <f t="shared" si="7"/>
        <v>51625</v>
      </c>
      <c r="I141" s="118" t="s">
        <v>435</v>
      </c>
      <c r="J141" s="119"/>
      <c r="K141" s="120"/>
    </row>
    <row r="142" spans="1:11" ht="37.5" customHeight="1">
      <c r="A142" s="93" t="s">
        <v>215</v>
      </c>
      <c r="B142" s="94" t="s">
        <v>216</v>
      </c>
      <c r="C142" s="124">
        <f>Activities!L131</f>
        <v>0</v>
      </c>
      <c r="D142" s="124">
        <f>Activities!J131</f>
        <v>0</v>
      </c>
      <c r="E142" s="116">
        <f t="shared" si="6"/>
        <v>0</v>
      </c>
      <c r="F142" s="124">
        <f>Activities!L131+Activities!M131</f>
        <v>0</v>
      </c>
      <c r="G142" s="115">
        <f>Activities!J131+Activities!K131</f>
        <v>9808750</v>
      </c>
      <c r="H142" s="96">
        <f t="shared" si="7"/>
        <v>9808750</v>
      </c>
      <c r="I142" s="118"/>
      <c r="J142" s="119"/>
      <c r="K142" s="120"/>
    </row>
    <row r="143" spans="1:11" ht="37.5" customHeight="1">
      <c r="A143" s="139" t="s">
        <v>217</v>
      </c>
      <c r="B143" s="144" t="s">
        <v>218</v>
      </c>
      <c r="C143" s="124">
        <f>Activities!L132</f>
        <v>0</v>
      </c>
      <c r="D143" s="124">
        <f>Activities!J132</f>
        <v>30975</v>
      </c>
      <c r="E143" s="116">
        <f t="shared" si="6"/>
        <v>30975</v>
      </c>
      <c r="F143" s="124">
        <f>Activities!L132+Activities!M132</f>
        <v>0</v>
      </c>
      <c r="G143" s="115">
        <f>Activities!J132+Activities!K132</f>
        <v>30975</v>
      </c>
      <c r="H143" s="96">
        <f t="shared" si="7"/>
        <v>30975</v>
      </c>
      <c r="I143" s="118" t="s">
        <v>435</v>
      </c>
      <c r="J143" s="119"/>
      <c r="K143" s="120"/>
    </row>
    <row r="144" spans="1:11" ht="37.5" customHeight="1">
      <c r="A144" s="93" t="s">
        <v>219</v>
      </c>
      <c r="B144" s="94" t="s">
        <v>220</v>
      </c>
      <c r="C144" s="124">
        <f>Activities!L133</f>
        <v>0</v>
      </c>
      <c r="D144" s="124">
        <f>Activities!J133</f>
        <v>0</v>
      </c>
      <c r="E144" s="116">
        <f t="shared" si="6"/>
        <v>0</v>
      </c>
      <c r="F144" s="124">
        <f>Activities!L133+Activities!M133</f>
        <v>0</v>
      </c>
      <c r="G144" s="115">
        <f>Activities!J133+Activities!K133</f>
        <v>2065000</v>
      </c>
      <c r="H144" s="96">
        <f t="shared" si="7"/>
        <v>2065000</v>
      </c>
      <c r="I144" s="118"/>
      <c r="J144" s="119"/>
      <c r="K144" s="120"/>
    </row>
    <row r="145" spans="1:11" ht="37.5" customHeight="1">
      <c r="A145" s="139" t="s">
        <v>221</v>
      </c>
      <c r="B145" s="144" t="s">
        <v>222</v>
      </c>
      <c r="C145" s="124">
        <f>Activities!L134</f>
        <v>0</v>
      </c>
      <c r="D145" s="124">
        <f>Activities!J134</f>
        <v>37170</v>
      </c>
      <c r="E145" s="116">
        <f t="shared" si="6"/>
        <v>37170</v>
      </c>
      <c r="F145" s="124">
        <f>Activities!L134+Activities!M134</f>
        <v>0</v>
      </c>
      <c r="G145" s="115">
        <f>Activities!J134+Activities!K134</f>
        <v>37170</v>
      </c>
      <c r="H145" s="96">
        <f t="shared" si="7"/>
        <v>37170</v>
      </c>
      <c r="I145" s="118" t="s">
        <v>435</v>
      </c>
      <c r="J145" s="119"/>
      <c r="K145" s="120"/>
    </row>
    <row r="146" spans="1:11" ht="37.5" customHeight="1">
      <c r="A146" s="93" t="s">
        <v>223</v>
      </c>
      <c r="B146" s="94" t="s">
        <v>224</v>
      </c>
      <c r="C146" s="124">
        <f>Activities!L135</f>
        <v>0</v>
      </c>
      <c r="D146" s="124">
        <f>Activities!J135</f>
        <v>0</v>
      </c>
      <c r="E146" s="116">
        <f t="shared" si="6"/>
        <v>0</v>
      </c>
      <c r="F146" s="124">
        <f>Activities!L135+Activities!M135</f>
        <v>0</v>
      </c>
      <c r="G146" s="115">
        <f>Activities!J135+Activities!K135</f>
        <v>103250</v>
      </c>
      <c r="H146" s="96">
        <f t="shared" si="7"/>
        <v>103250</v>
      </c>
      <c r="I146" s="118"/>
      <c r="J146" s="119"/>
      <c r="K146" s="120"/>
    </row>
    <row r="147" spans="1:11" ht="37.5" customHeight="1">
      <c r="A147" s="93" t="s">
        <v>225</v>
      </c>
      <c r="B147" s="94" t="s">
        <v>226</v>
      </c>
      <c r="C147" s="124">
        <f>Activities!L136</f>
        <v>0</v>
      </c>
      <c r="D147" s="124">
        <f>Activities!J136</f>
        <v>98087.5</v>
      </c>
      <c r="E147" s="116">
        <f t="shared" si="6"/>
        <v>98087.5</v>
      </c>
      <c r="F147" s="124">
        <f>Activities!L136+Activities!M136</f>
        <v>0</v>
      </c>
      <c r="G147" s="115">
        <f>Activities!J136+Activities!K136</f>
        <v>252962.5</v>
      </c>
      <c r="H147" s="96">
        <f t="shared" si="7"/>
        <v>252962.5</v>
      </c>
      <c r="I147" s="118" t="s">
        <v>435</v>
      </c>
      <c r="J147" s="119"/>
      <c r="K147" s="120"/>
    </row>
    <row r="148" spans="1:11" ht="37.5" customHeight="1">
      <c r="A148" s="139" t="s">
        <v>227</v>
      </c>
      <c r="B148" s="144" t="s">
        <v>228</v>
      </c>
      <c r="C148" s="124">
        <f>Activities!L137</f>
        <v>0</v>
      </c>
      <c r="D148" s="124">
        <f>Activities!J137</f>
        <v>0</v>
      </c>
      <c r="E148" s="116">
        <f t="shared" si="6"/>
        <v>0</v>
      </c>
      <c r="F148" s="124">
        <f>Activities!L137+Activities!M137</f>
        <v>29397</v>
      </c>
      <c r="G148" s="115">
        <f>Activities!J137+Activities!K137</f>
        <v>0</v>
      </c>
      <c r="H148" s="96">
        <f t="shared" si="7"/>
        <v>-29397</v>
      </c>
      <c r="I148" s="118"/>
      <c r="J148" s="119"/>
      <c r="K148" s="120"/>
    </row>
    <row r="149" spans="1:11" ht="37.5" customHeight="1">
      <c r="A149" s="139" t="s">
        <v>229</v>
      </c>
      <c r="B149" s="144" t="s">
        <v>230</v>
      </c>
      <c r="C149" s="124">
        <f>Activities!L138</f>
        <v>0</v>
      </c>
      <c r="D149" s="124">
        <f>Activities!J138</f>
        <v>6195000</v>
      </c>
      <c r="E149" s="116">
        <f t="shared" si="6"/>
        <v>6195000</v>
      </c>
      <c r="F149" s="124">
        <f>Activities!L138+Activities!M138</f>
        <v>0</v>
      </c>
      <c r="G149" s="115">
        <f>Activities!J138+Activities!K138</f>
        <v>6195000</v>
      </c>
      <c r="H149" s="96">
        <f t="shared" si="7"/>
        <v>6195000</v>
      </c>
      <c r="I149" s="118" t="s">
        <v>435</v>
      </c>
      <c r="J149" s="119"/>
      <c r="K149" s="120"/>
    </row>
    <row r="150" spans="1:11" ht="37.5" customHeight="1">
      <c r="A150" s="93" t="s">
        <v>231</v>
      </c>
      <c r="B150" s="94" t="s">
        <v>232</v>
      </c>
      <c r="C150" s="124">
        <f>Activities!L139</f>
        <v>0</v>
      </c>
      <c r="D150" s="124">
        <f>Activities!J139</f>
        <v>0</v>
      </c>
      <c r="E150" s="116">
        <f t="shared" si="6"/>
        <v>0</v>
      </c>
      <c r="F150" s="124">
        <f>Activities!L139+Activities!M139</f>
        <v>0</v>
      </c>
      <c r="G150" s="115">
        <f>Activities!J139+Activities!K139</f>
        <v>154875</v>
      </c>
      <c r="H150" s="96">
        <f t="shared" si="7"/>
        <v>154875</v>
      </c>
      <c r="I150" s="118"/>
      <c r="J150" s="119"/>
      <c r="K150" s="120"/>
    </row>
    <row r="151" spans="1:11" ht="37.5" customHeight="1">
      <c r="A151" s="93" t="s">
        <v>233</v>
      </c>
      <c r="B151" s="94" t="s">
        <v>234</v>
      </c>
      <c r="C151" s="124">
        <f>Activities!L140</f>
        <v>0</v>
      </c>
      <c r="D151" s="124">
        <f>Activities!J140</f>
        <v>0</v>
      </c>
      <c r="E151" s="116">
        <f t="shared" si="6"/>
        <v>0</v>
      </c>
      <c r="F151" s="124">
        <f>Activities!L140+Activities!M140</f>
        <v>0</v>
      </c>
      <c r="G151" s="115">
        <f>Activities!J140+Activities!K140</f>
        <v>61950</v>
      </c>
      <c r="H151" s="96">
        <f t="shared" si="7"/>
        <v>61950</v>
      </c>
      <c r="I151" s="118"/>
      <c r="J151" s="119"/>
      <c r="K151" s="120"/>
    </row>
    <row r="152" spans="1:11" ht="37.5" customHeight="1">
      <c r="A152" s="139" t="s">
        <v>235</v>
      </c>
      <c r="B152" s="144" t="s">
        <v>236</v>
      </c>
      <c r="C152" s="124">
        <f>Activities!L141</f>
        <v>255200</v>
      </c>
      <c r="D152" s="124">
        <f>Activities!J141</f>
        <v>5735227.75</v>
      </c>
      <c r="E152" s="116">
        <f t="shared" si="6"/>
        <v>5480027.75</v>
      </c>
      <c r="F152" s="124">
        <f>Activities!L141+Activities!M141</f>
        <v>255200</v>
      </c>
      <c r="G152" s="115">
        <f>Activities!J141+Activities!K141</f>
        <v>5735227.75</v>
      </c>
      <c r="H152" s="96">
        <f t="shared" si="7"/>
        <v>5480027.75</v>
      </c>
      <c r="I152" s="118" t="s">
        <v>435</v>
      </c>
      <c r="J152" s="119"/>
      <c r="K152" s="120"/>
    </row>
    <row r="153" spans="1:11" ht="37.5" customHeight="1">
      <c r="A153" s="93" t="s">
        <v>237</v>
      </c>
      <c r="B153" s="94" t="s">
        <v>238</v>
      </c>
      <c r="C153" s="124">
        <f>Activities!L142</f>
        <v>0</v>
      </c>
      <c r="D153" s="124">
        <f>Activities!J142</f>
        <v>0</v>
      </c>
      <c r="E153" s="116">
        <f t="shared" si="6"/>
        <v>0</v>
      </c>
      <c r="F153" s="124">
        <f>Activities!L142+Activities!M142</f>
        <v>0</v>
      </c>
      <c r="G153" s="115">
        <f>Activities!J142+Activities!K142</f>
        <v>206500</v>
      </c>
      <c r="H153" s="96">
        <f t="shared" si="7"/>
        <v>206500</v>
      </c>
      <c r="I153" s="118"/>
      <c r="J153" s="119"/>
      <c r="K153" s="120"/>
    </row>
    <row r="154" spans="1:11" ht="37.5" customHeight="1">
      <c r="A154" s="93" t="s">
        <v>239</v>
      </c>
      <c r="B154" s="94" t="s">
        <v>240</v>
      </c>
      <c r="C154" s="124">
        <f>Activities!L143</f>
        <v>0</v>
      </c>
      <c r="D154" s="124">
        <f>Activities!J143</f>
        <v>0</v>
      </c>
      <c r="E154" s="116">
        <f t="shared" si="6"/>
        <v>0</v>
      </c>
      <c r="F154" s="124">
        <f>Activities!L143+Activities!M143</f>
        <v>0</v>
      </c>
      <c r="G154" s="115">
        <f>Activities!J143+Activities!K143</f>
        <v>2106300</v>
      </c>
      <c r="H154" s="96">
        <f t="shared" si="7"/>
        <v>2106300</v>
      </c>
      <c r="I154" s="118"/>
      <c r="J154" s="119"/>
      <c r="K154" s="120"/>
    </row>
    <row r="155" spans="1:11" ht="37.5" customHeight="1">
      <c r="A155" s="93" t="s">
        <v>241</v>
      </c>
      <c r="B155" s="94" t="s">
        <v>242</v>
      </c>
      <c r="C155" s="124">
        <f>Activities!L144</f>
        <v>0</v>
      </c>
      <c r="D155" s="124">
        <f>Activities!J144</f>
        <v>0</v>
      </c>
      <c r="E155" s="116">
        <f t="shared" si="6"/>
        <v>0</v>
      </c>
      <c r="F155" s="124">
        <f>Activities!L144+Activities!M144</f>
        <v>0</v>
      </c>
      <c r="G155" s="115">
        <f>Activities!J144+Activities!K144</f>
        <v>619500</v>
      </c>
      <c r="H155" s="96">
        <f t="shared" si="7"/>
        <v>619500</v>
      </c>
      <c r="I155" s="118"/>
      <c r="J155" s="119"/>
      <c r="K155" s="120"/>
    </row>
    <row r="156" spans="1:11" ht="37.5" customHeight="1">
      <c r="A156" s="139" t="s">
        <v>243</v>
      </c>
      <c r="B156" s="144" t="s">
        <v>244</v>
      </c>
      <c r="C156" s="124">
        <f>Activities!L145</f>
        <v>0</v>
      </c>
      <c r="D156" s="124">
        <f>Activities!J145</f>
        <v>206500</v>
      </c>
      <c r="E156" s="116">
        <f t="shared" si="6"/>
        <v>206500</v>
      </c>
      <c r="F156" s="124">
        <f>Activities!L145+Activities!M145</f>
        <v>0</v>
      </c>
      <c r="G156" s="115">
        <f>Activities!J145+Activities!K145</f>
        <v>206500</v>
      </c>
      <c r="H156" s="96">
        <f t="shared" si="7"/>
        <v>206500</v>
      </c>
      <c r="I156" s="118" t="s">
        <v>435</v>
      </c>
      <c r="J156" s="119"/>
      <c r="K156" s="120"/>
    </row>
    <row r="157" spans="1:11" ht="37.5" customHeight="1">
      <c r="A157" s="93" t="s">
        <v>245</v>
      </c>
      <c r="B157" s="94" t="s">
        <v>246</v>
      </c>
      <c r="C157" s="124">
        <f>Activities!L146</f>
        <v>0</v>
      </c>
      <c r="D157" s="124">
        <f>Activities!J146</f>
        <v>0</v>
      </c>
      <c r="E157" s="116">
        <f t="shared" si="6"/>
        <v>0</v>
      </c>
      <c r="F157" s="124">
        <f>Activities!L146+Activities!M146</f>
        <v>0</v>
      </c>
      <c r="G157" s="115">
        <f>Activities!J146+Activities!K146</f>
        <v>1239000</v>
      </c>
      <c r="H157" s="96">
        <f t="shared" si="7"/>
        <v>1239000</v>
      </c>
      <c r="I157" s="118"/>
      <c r="J157" s="119"/>
      <c r="K157" s="120"/>
    </row>
    <row r="158" spans="1:11" ht="37.5" customHeight="1">
      <c r="A158" s="139" t="s">
        <v>247</v>
      </c>
      <c r="B158" s="144" t="s">
        <v>248</v>
      </c>
      <c r="C158" s="124">
        <f>Activities!L147</f>
        <v>0</v>
      </c>
      <c r="D158" s="124">
        <f>Activities!J147</f>
        <v>3097500</v>
      </c>
      <c r="E158" s="116">
        <f t="shared" si="6"/>
        <v>3097500</v>
      </c>
      <c r="F158" s="124">
        <f>Activities!L147+Activities!M147</f>
        <v>0</v>
      </c>
      <c r="G158" s="115">
        <f>Activities!J147+Activities!K147</f>
        <v>3097500</v>
      </c>
      <c r="H158" s="96">
        <f t="shared" si="7"/>
        <v>3097500</v>
      </c>
      <c r="I158" s="118" t="s">
        <v>435</v>
      </c>
      <c r="J158" s="119"/>
      <c r="K158" s="120"/>
    </row>
    <row r="159" spans="1:11" ht="37.5" customHeight="1">
      <c r="A159" s="93" t="s">
        <v>249</v>
      </c>
      <c r="B159" s="94" t="s">
        <v>250</v>
      </c>
      <c r="C159" s="124">
        <f>Activities!L148</f>
        <v>0</v>
      </c>
      <c r="D159" s="124">
        <f>Activities!J148</f>
        <v>0</v>
      </c>
      <c r="E159" s="116">
        <f t="shared" si="6"/>
        <v>0</v>
      </c>
      <c r="F159" s="124">
        <f>Activities!L148+Activities!M148</f>
        <v>0</v>
      </c>
      <c r="G159" s="115">
        <f>Activities!J148+Activities!K148</f>
        <v>1239000</v>
      </c>
      <c r="H159" s="96">
        <f t="shared" si="7"/>
        <v>1239000</v>
      </c>
      <c r="I159" s="118"/>
      <c r="J159" s="119"/>
      <c r="K159" s="120"/>
    </row>
    <row r="160" spans="1:11" ht="37.5" customHeight="1">
      <c r="A160" s="139" t="s">
        <v>251</v>
      </c>
      <c r="B160" s="144" t="s">
        <v>252</v>
      </c>
      <c r="C160" s="124">
        <f>Activities!L149</f>
        <v>0</v>
      </c>
      <c r="D160" s="124">
        <f>Activities!J149</f>
        <v>413000</v>
      </c>
      <c r="E160" s="116">
        <f t="shared" si="6"/>
        <v>413000</v>
      </c>
      <c r="F160" s="124">
        <f>Activities!L149+Activities!M149</f>
        <v>0</v>
      </c>
      <c r="G160" s="115">
        <f>Activities!J149+Activities!K149</f>
        <v>413000</v>
      </c>
      <c r="H160" s="96">
        <f t="shared" si="7"/>
        <v>413000</v>
      </c>
      <c r="I160" s="118" t="s">
        <v>435</v>
      </c>
      <c r="J160" s="119"/>
      <c r="K160" s="120"/>
    </row>
    <row r="161" spans="1:11" ht="37.5" customHeight="1">
      <c r="A161" s="93" t="s">
        <v>253</v>
      </c>
      <c r="B161" s="94" t="s">
        <v>254</v>
      </c>
      <c r="C161" s="124">
        <f>Activities!L150</f>
        <v>0</v>
      </c>
      <c r="D161" s="124">
        <f>Activities!J150</f>
        <v>0</v>
      </c>
      <c r="E161" s="116">
        <f t="shared" si="6"/>
        <v>0</v>
      </c>
      <c r="F161" s="124">
        <f>Activities!L150+Activities!M150</f>
        <v>0</v>
      </c>
      <c r="G161" s="115">
        <f>Activities!J150+Activities!K150</f>
        <v>1548750</v>
      </c>
      <c r="H161" s="96">
        <f t="shared" si="7"/>
        <v>1548750</v>
      </c>
      <c r="I161" s="118"/>
      <c r="J161" s="119"/>
      <c r="K161" s="120"/>
    </row>
    <row r="162" spans="1:11" ht="37.5" customHeight="1">
      <c r="A162" s="139" t="s">
        <v>255</v>
      </c>
      <c r="B162" s="144" t="s">
        <v>256</v>
      </c>
      <c r="C162" s="124">
        <f>Activities!L151</f>
        <v>0</v>
      </c>
      <c r="D162" s="124">
        <f>Activities!J151</f>
        <v>413000</v>
      </c>
      <c r="E162" s="116">
        <f t="shared" si="6"/>
        <v>413000</v>
      </c>
      <c r="F162" s="124">
        <f>Activities!L151+Activities!M151</f>
        <v>702728</v>
      </c>
      <c r="G162" s="115">
        <f>Activities!J151+Activities!K151</f>
        <v>413000</v>
      </c>
      <c r="H162" s="96">
        <f t="shared" si="7"/>
        <v>-289728</v>
      </c>
      <c r="I162" s="118" t="s">
        <v>435</v>
      </c>
      <c r="J162" s="119"/>
      <c r="K162" s="120"/>
    </row>
    <row r="163" spans="1:11" ht="37.5" customHeight="1">
      <c r="A163" s="139" t="s">
        <v>257</v>
      </c>
      <c r="B163" s="144" t="s">
        <v>258</v>
      </c>
      <c r="C163" s="124">
        <f>Activities!L152</f>
        <v>0</v>
      </c>
      <c r="D163" s="124">
        <f>Activities!J152</f>
        <v>413000</v>
      </c>
      <c r="E163" s="116">
        <f t="shared" si="6"/>
        <v>413000</v>
      </c>
      <c r="F163" s="124">
        <f>Activities!L152+Activities!M152</f>
        <v>0</v>
      </c>
      <c r="G163" s="115">
        <f>Activities!J152+Activities!K152</f>
        <v>413000</v>
      </c>
      <c r="H163" s="96">
        <f t="shared" si="7"/>
        <v>413000</v>
      </c>
      <c r="I163" s="118" t="s">
        <v>435</v>
      </c>
      <c r="J163" s="119"/>
      <c r="K163" s="120"/>
    </row>
    <row r="164" spans="1:11" ht="37.5" customHeight="1">
      <c r="A164" s="139" t="s">
        <v>259</v>
      </c>
      <c r="B164" s="144" t="s">
        <v>260</v>
      </c>
      <c r="C164" s="124">
        <f>Activities!L153</f>
        <v>0</v>
      </c>
      <c r="D164" s="124">
        <f>Activities!J153</f>
        <v>516250</v>
      </c>
      <c r="E164" s="116">
        <f t="shared" si="6"/>
        <v>516250</v>
      </c>
      <c r="F164" s="124">
        <f>Activities!L153+Activities!M153</f>
        <v>168939</v>
      </c>
      <c r="G164" s="115">
        <f>Activities!J153+Activities!K153</f>
        <v>516250</v>
      </c>
      <c r="H164" s="96">
        <f t="shared" si="7"/>
        <v>347311</v>
      </c>
      <c r="I164" s="118" t="s">
        <v>435</v>
      </c>
      <c r="J164" s="119"/>
      <c r="K164" s="120"/>
    </row>
    <row r="165" spans="1:11" ht="37.5" customHeight="1">
      <c r="A165" s="139" t="s">
        <v>261</v>
      </c>
      <c r="B165" s="144" t="s">
        <v>262</v>
      </c>
      <c r="C165" s="124">
        <f>Activities!L154</f>
        <v>0</v>
      </c>
      <c r="D165" s="124">
        <f>Activities!J154</f>
        <v>206500</v>
      </c>
      <c r="E165" s="116">
        <f t="shared" si="6"/>
        <v>206500</v>
      </c>
      <c r="F165" s="124">
        <f>Activities!L154+Activities!M154</f>
        <v>0</v>
      </c>
      <c r="G165" s="115">
        <f>Activities!J154+Activities!K154</f>
        <v>206500</v>
      </c>
      <c r="H165" s="96">
        <f t="shared" si="7"/>
        <v>206500</v>
      </c>
      <c r="I165" s="118" t="s">
        <v>435</v>
      </c>
      <c r="J165" s="119"/>
      <c r="K165" s="120"/>
    </row>
    <row r="166" spans="1:11" ht="37.5" customHeight="1">
      <c r="A166" s="139" t="s">
        <v>263</v>
      </c>
      <c r="B166" s="144" t="s">
        <v>264</v>
      </c>
      <c r="C166" s="124">
        <f>Activities!L155</f>
        <v>130000</v>
      </c>
      <c r="D166" s="124">
        <f>Activities!J155</f>
        <v>1032500</v>
      </c>
      <c r="E166" s="116">
        <f t="shared" si="6"/>
        <v>902500</v>
      </c>
      <c r="F166" s="124">
        <f>Activities!L155+Activities!M155</f>
        <v>130000</v>
      </c>
      <c r="G166" s="115">
        <f>Activities!J155+Activities!K155</f>
        <v>1032500</v>
      </c>
      <c r="H166" s="96">
        <f t="shared" si="7"/>
        <v>902500</v>
      </c>
      <c r="I166" s="118" t="s">
        <v>435</v>
      </c>
      <c r="J166" s="119"/>
      <c r="K166" s="120"/>
    </row>
    <row r="167" spans="1:11" ht="37.5" customHeight="1">
      <c r="A167" s="139" t="s">
        <v>265</v>
      </c>
      <c r="B167" s="144" t="s">
        <v>266</v>
      </c>
      <c r="C167" s="124">
        <f>Activities!L156</f>
        <v>0</v>
      </c>
      <c r="D167" s="124">
        <f>Activities!J156</f>
        <v>216825</v>
      </c>
      <c r="E167" s="116">
        <f t="shared" si="6"/>
        <v>216825</v>
      </c>
      <c r="F167" s="124">
        <f>Activities!L156+Activities!M156</f>
        <v>0</v>
      </c>
      <c r="G167" s="115">
        <f>Activities!J156+Activities!K156</f>
        <v>216825</v>
      </c>
      <c r="H167" s="96">
        <f t="shared" si="7"/>
        <v>216825</v>
      </c>
      <c r="I167" s="118" t="s">
        <v>435</v>
      </c>
      <c r="J167" s="119"/>
      <c r="K167" s="120"/>
    </row>
    <row r="168" spans="1:11" ht="37.5" customHeight="1">
      <c r="A168" s="139" t="s">
        <v>267</v>
      </c>
      <c r="B168" s="144" t="s">
        <v>268</v>
      </c>
      <c r="C168" s="124">
        <f>Activities!L157</f>
        <v>0</v>
      </c>
      <c r="D168" s="124">
        <f>Activities!J157</f>
        <v>1249325</v>
      </c>
      <c r="E168" s="116">
        <f t="shared" si="6"/>
        <v>1249325</v>
      </c>
      <c r="F168" s="124">
        <f>Activities!L157+Activities!M157</f>
        <v>1211040</v>
      </c>
      <c r="G168" s="115">
        <f>Activities!J157+Activities!K157</f>
        <v>1249325</v>
      </c>
      <c r="H168" s="96">
        <f t="shared" si="7"/>
        <v>38285</v>
      </c>
      <c r="I168" s="118" t="s">
        <v>435</v>
      </c>
      <c r="J168" s="119"/>
      <c r="K168" s="120"/>
    </row>
    <row r="169" spans="1:11" ht="37.5" customHeight="1">
      <c r="A169" s="113"/>
      <c r="B169" s="114" t="s">
        <v>269</v>
      </c>
      <c r="C169" s="128">
        <f>SUM(C121:C168)</f>
        <v>8385182</v>
      </c>
      <c r="D169" s="128">
        <f>SUM(D121:D168)</f>
        <v>31122854</v>
      </c>
      <c r="E169" s="128">
        <f>SUM(E121:E168)</f>
        <v>22737672</v>
      </c>
      <c r="F169" s="128">
        <f>SUM(F121:F168)</f>
        <v>15330464</v>
      </c>
      <c r="G169" s="128">
        <f>SUM(G121:G168)</f>
        <v>69635104</v>
      </c>
      <c r="H169" s="128">
        <f>SUM(H121:H168)</f>
        <v>54304640</v>
      </c>
      <c r="I169" s="118"/>
      <c r="J169" s="119"/>
      <c r="K169" s="120"/>
    </row>
    <row r="170" spans="1:11" ht="37.5" customHeight="1">
      <c r="A170" s="93">
        <v>4.2</v>
      </c>
      <c r="B170" s="94" t="s">
        <v>270</v>
      </c>
      <c r="C170" s="124">
        <f>Activities!L159</f>
        <v>0</v>
      </c>
      <c r="D170" s="124">
        <f>Activities!J159</f>
        <v>309750</v>
      </c>
      <c r="E170" s="116">
        <f>+D170-C170</f>
        <v>309750</v>
      </c>
      <c r="F170" s="124">
        <f>Activities!L159+Activities!M159</f>
        <v>0</v>
      </c>
      <c r="G170" s="115">
        <f>Activities!J159+Activities!K159</f>
        <v>722750</v>
      </c>
      <c r="H170" s="96">
        <f>G170-F170</f>
        <v>722750</v>
      </c>
      <c r="I170" s="118"/>
      <c r="J170" s="119"/>
      <c r="K170" s="120"/>
    </row>
    <row r="171" spans="1:11" s="75" customFormat="1" ht="37.5" customHeight="1">
      <c r="A171" s="113"/>
      <c r="B171" s="114" t="s">
        <v>57</v>
      </c>
      <c r="C171" s="146">
        <f>SUM(C170)</f>
        <v>0</v>
      </c>
      <c r="D171" s="146">
        <f>SUM(D170)</f>
        <v>309750</v>
      </c>
      <c r="E171" s="146">
        <f>SUM(E170)</f>
        <v>309750</v>
      </c>
      <c r="F171" s="146">
        <f>SUM(F170)</f>
        <v>0</v>
      </c>
      <c r="G171" s="146">
        <f>SUM(G170)</f>
        <v>722750</v>
      </c>
      <c r="H171" s="146">
        <f>SUM(H170)</f>
        <v>722750</v>
      </c>
      <c r="I171" s="82"/>
      <c r="J171" s="147"/>
      <c r="K171" s="148"/>
    </row>
    <row r="172" spans="1:11" ht="37.5" customHeight="1">
      <c r="A172" s="113">
        <v>4.3</v>
      </c>
      <c r="B172" s="114" t="s">
        <v>271</v>
      </c>
      <c r="C172" s="124">
        <f>Activities!M161</f>
        <v>0</v>
      </c>
      <c r="D172" s="124">
        <f>Activities!K161</f>
        <v>0</v>
      </c>
      <c r="E172" s="116">
        <f>+D172-C172</f>
        <v>0</v>
      </c>
      <c r="F172" s="124">
        <f>Activities!L161+Activities!M161</f>
        <v>0</v>
      </c>
      <c r="G172" s="115">
        <f>Activities!J161+Activities!K161</f>
        <v>0</v>
      </c>
      <c r="H172" s="96">
        <f>G172-F172</f>
        <v>0</v>
      </c>
      <c r="I172" s="118"/>
      <c r="J172" s="119"/>
      <c r="K172" s="120"/>
    </row>
    <row r="173" spans="1:11" ht="37.5" customHeight="1">
      <c r="A173" s="93" t="s">
        <v>272</v>
      </c>
      <c r="B173" s="94" t="s">
        <v>273</v>
      </c>
      <c r="C173" s="124">
        <f>Activities!L162</f>
        <v>0</v>
      </c>
      <c r="D173" s="124">
        <f>Activities!J162</f>
        <v>7227500</v>
      </c>
      <c r="E173" s="116">
        <f>+D173-C173</f>
        <v>7227500</v>
      </c>
      <c r="F173" s="124">
        <f>Activities!L162+Activities!M162</f>
        <v>0</v>
      </c>
      <c r="G173" s="115">
        <f>Activities!J162+Activities!K162</f>
        <v>7227500</v>
      </c>
      <c r="H173" s="96">
        <f>G173-F173</f>
        <v>7227500</v>
      </c>
      <c r="I173" s="118"/>
      <c r="J173" s="119"/>
      <c r="K173" s="120"/>
    </row>
    <row r="174" spans="1:11" s="75" customFormat="1" ht="37.5" customHeight="1">
      <c r="A174" s="113"/>
      <c r="B174" s="114" t="s">
        <v>57</v>
      </c>
      <c r="C174" s="146">
        <f>SUM(C172:C173)</f>
        <v>0</v>
      </c>
      <c r="D174" s="146">
        <f>SUM(D172:D173)</f>
        <v>7227500</v>
      </c>
      <c r="E174" s="146">
        <f>SUM(E172:E173)</f>
        <v>7227500</v>
      </c>
      <c r="F174" s="146">
        <f>SUM(F172:F173)</f>
        <v>0</v>
      </c>
      <c r="G174" s="146">
        <f>SUM(G172:G173)</f>
        <v>7227500</v>
      </c>
      <c r="H174" s="146">
        <f>SUM(H172:H173)</f>
        <v>7227500</v>
      </c>
      <c r="I174" s="82"/>
      <c r="J174" s="147"/>
      <c r="K174" s="148"/>
    </row>
    <row r="175" spans="1:11" ht="37.5" customHeight="1">
      <c r="A175" s="93" t="s">
        <v>274</v>
      </c>
      <c r="B175" s="94" t="s">
        <v>275</v>
      </c>
      <c r="C175" s="124">
        <f>Activities!L164</f>
        <v>0</v>
      </c>
      <c r="D175" s="124">
        <f>Activities!J164</f>
        <v>206500</v>
      </c>
      <c r="E175" s="116">
        <f>+D175-C175</f>
        <v>206500</v>
      </c>
      <c r="F175" s="124">
        <f>Activities!L164+Activities!M164</f>
        <v>0</v>
      </c>
      <c r="G175" s="115">
        <f>Activities!J164+Activities!K164</f>
        <v>1032500</v>
      </c>
      <c r="H175" s="96">
        <f>G175-F175</f>
        <v>1032500</v>
      </c>
      <c r="I175" s="118"/>
      <c r="J175" s="119"/>
      <c r="K175" s="120"/>
    </row>
    <row r="176" spans="1:11" ht="37.5" customHeight="1">
      <c r="A176" s="113"/>
      <c r="B176" s="114" t="s">
        <v>57</v>
      </c>
      <c r="C176" s="149">
        <f>SUM(C175)</f>
        <v>0</v>
      </c>
      <c r="D176" s="149">
        <f>SUM(D175)</f>
        <v>206500</v>
      </c>
      <c r="E176" s="149">
        <f>SUM(E175)</f>
        <v>206500</v>
      </c>
      <c r="F176" s="149">
        <f>SUM(F175)</f>
        <v>0</v>
      </c>
      <c r="G176" s="149">
        <f>SUM(G175)</f>
        <v>1032500</v>
      </c>
      <c r="H176" s="149">
        <f>SUM(H175)</f>
        <v>1032500</v>
      </c>
      <c r="I176" s="118"/>
      <c r="J176" s="119"/>
      <c r="K176" s="120"/>
    </row>
    <row r="177" spans="1:11" ht="37.5" customHeight="1">
      <c r="A177" s="113">
        <v>4.4</v>
      </c>
      <c r="B177" s="114" t="s">
        <v>369</v>
      </c>
      <c r="C177" s="115"/>
      <c r="D177" s="115"/>
      <c r="E177" s="116"/>
      <c r="F177" s="117"/>
      <c r="G177" s="115"/>
      <c r="H177" s="121"/>
      <c r="I177" s="118"/>
      <c r="J177" s="119"/>
      <c r="K177" s="120"/>
    </row>
    <row r="178" spans="1:11" ht="37.5" customHeight="1">
      <c r="A178" s="150" t="s">
        <v>277</v>
      </c>
      <c r="B178" s="123" t="s">
        <v>278</v>
      </c>
      <c r="C178" s="124">
        <f>Activities!L167</f>
        <v>406250</v>
      </c>
      <c r="D178" s="124">
        <f>Activities!J167</f>
        <v>413000</v>
      </c>
      <c r="E178" s="116">
        <f>+D178-C178</f>
        <v>6750</v>
      </c>
      <c r="F178" s="124">
        <f>Activities!L167+Activities!M167</f>
        <v>406250</v>
      </c>
      <c r="G178" s="115">
        <f>Activities!J167+Activities!K167</f>
        <v>413000</v>
      </c>
      <c r="H178" s="96">
        <f>G178-F178</f>
        <v>6750</v>
      </c>
      <c r="I178" s="118" t="s">
        <v>429</v>
      </c>
      <c r="J178" s="119"/>
      <c r="K178" s="120"/>
    </row>
    <row r="179" spans="1:11" ht="37.5" customHeight="1">
      <c r="A179" s="93" t="s">
        <v>279</v>
      </c>
      <c r="B179" s="94" t="s">
        <v>280</v>
      </c>
      <c r="C179" s="124">
        <f>Activities!L168</f>
        <v>0</v>
      </c>
      <c r="D179" s="124">
        <f>Activities!J168</f>
        <v>2065000</v>
      </c>
      <c r="E179" s="116">
        <f>+D179-C179</f>
        <v>2065000</v>
      </c>
      <c r="F179" s="124">
        <f>Activities!L168+Activities!M168</f>
        <v>0</v>
      </c>
      <c r="G179" s="115">
        <f>Activities!J168+Activities!K168</f>
        <v>4130000</v>
      </c>
      <c r="H179" s="96">
        <f>G179-F179</f>
        <v>4130000</v>
      </c>
      <c r="I179" s="118"/>
      <c r="J179" s="119"/>
      <c r="K179" s="120"/>
    </row>
    <row r="180" spans="1:11" ht="37.5" customHeight="1">
      <c r="A180" s="139" t="s">
        <v>281</v>
      </c>
      <c r="B180" s="144" t="s">
        <v>282</v>
      </c>
      <c r="C180" s="124">
        <f>Activities!L169</f>
        <v>0</v>
      </c>
      <c r="D180" s="124">
        <f>Activities!J169</f>
        <v>309750</v>
      </c>
      <c r="E180" s="116">
        <f>+D180-C180</f>
        <v>309750</v>
      </c>
      <c r="F180" s="124">
        <f>Activities!L169+Activities!M169</f>
        <v>0</v>
      </c>
      <c r="G180" s="115">
        <f>Activities!J169+Activities!K169</f>
        <v>309750</v>
      </c>
      <c r="H180" s="96">
        <f>G180-F180</f>
        <v>309750</v>
      </c>
      <c r="I180" s="118" t="s">
        <v>435</v>
      </c>
      <c r="J180" s="119"/>
      <c r="K180" s="120"/>
    </row>
    <row r="181" spans="1:11" ht="37.5" customHeight="1">
      <c r="A181" s="93" t="s">
        <v>283</v>
      </c>
      <c r="B181" s="94" t="s">
        <v>284</v>
      </c>
      <c r="C181" s="124">
        <f>Activities!L170</f>
        <v>0</v>
      </c>
      <c r="D181" s="124">
        <f>Activities!J170</f>
        <v>1032500</v>
      </c>
      <c r="E181" s="116">
        <f>+D181-C181</f>
        <v>1032500</v>
      </c>
      <c r="F181" s="124">
        <f>Activities!L170+Activities!M170</f>
        <v>0</v>
      </c>
      <c r="G181" s="115">
        <f>Activities!J170+Activities!K170</f>
        <v>2065000</v>
      </c>
      <c r="H181" s="96">
        <f>G181-F181</f>
        <v>2065000</v>
      </c>
      <c r="I181" s="118"/>
      <c r="J181" s="119"/>
      <c r="K181" s="120"/>
    </row>
    <row r="182" spans="1:11" ht="37.5" customHeight="1">
      <c r="A182" s="139" t="s">
        <v>285</v>
      </c>
      <c r="B182" s="144" t="s">
        <v>286</v>
      </c>
      <c r="C182" s="124">
        <f>Activities!L171</f>
        <v>0</v>
      </c>
      <c r="D182" s="124">
        <f>Activities!J171</f>
        <v>413000</v>
      </c>
      <c r="E182" s="116">
        <f>+D182-C182</f>
        <v>413000</v>
      </c>
      <c r="F182" s="124">
        <f>Activities!L171+Activities!M171</f>
        <v>0</v>
      </c>
      <c r="G182" s="115">
        <f>Activities!J171+Activities!K171</f>
        <v>413000</v>
      </c>
      <c r="H182" s="96">
        <f>G182-F182</f>
        <v>413000</v>
      </c>
      <c r="I182" s="118" t="s">
        <v>435</v>
      </c>
      <c r="J182" s="119"/>
      <c r="K182" s="120"/>
    </row>
    <row r="183" spans="1:11" ht="37.5" customHeight="1">
      <c r="A183" s="93"/>
      <c r="B183" s="114" t="s">
        <v>57</v>
      </c>
      <c r="C183" s="128">
        <f>SUM(C178:C182)</f>
        <v>406250</v>
      </c>
      <c r="D183" s="128">
        <f>SUM(D178:D182)</f>
        <v>4233250</v>
      </c>
      <c r="E183" s="128">
        <f>SUM(E178:E182)</f>
        <v>3827000</v>
      </c>
      <c r="F183" s="128">
        <f>SUM(F178:F182)</f>
        <v>406250</v>
      </c>
      <c r="G183" s="128">
        <f>SUM(G178:G182)</f>
        <v>7330750</v>
      </c>
      <c r="H183" s="128">
        <f>SUM(H178:H182)</f>
        <v>6924500</v>
      </c>
      <c r="I183" s="118"/>
      <c r="J183" s="119"/>
      <c r="K183" s="120"/>
    </row>
    <row r="184" spans="1:11" ht="37.5" customHeight="1">
      <c r="A184" s="136">
        <v>4.6</v>
      </c>
      <c r="B184" s="94" t="s">
        <v>287</v>
      </c>
      <c r="C184" s="124">
        <f>Activities!L173</f>
        <v>0</v>
      </c>
      <c r="D184" s="124">
        <f>Activities!J173</f>
        <v>2065000</v>
      </c>
      <c r="E184" s="116">
        <f>+D184-C184</f>
        <v>2065000</v>
      </c>
      <c r="F184" s="124">
        <f>Activities!L173+Activities!M173</f>
        <v>0</v>
      </c>
      <c r="G184" s="115">
        <f>Activities!J173+Activities!K173</f>
        <v>2065000</v>
      </c>
      <c r="H184" s="96">
        <f>G184-F184</f>
        <v>2065000</v>
      </c>
      <c r="I184" s="118"/>
      <c r="J184" s="119"/>
      <c r="K184" s="120"/>
    </row>
    <row r="185" spans="1:11" ht="37.5" customHeight="1">
      <c r="A185" s="136"/>
      <c r="B185" s="114" t="s">
        <v>57</v>
      </c>
      <c r="C185" s="128">
        <f>SUM(C184)</f>
        <v>0</v>
      </c>
      <c r="D185" s="128">
        <f>SUM(D184)</f>
        <v>2065000</v>
      </c>
      <c r="E185" s="128">
        <f>SUM(E184)</f>
        <v>2065000</v>
      </c>
      <c r="F185" s="128">
        <f>SUM(F184)</f>
        <v>0</v>
      </c>
      <c r="G185" s="128">
        <f>SUM(G184)</f>
        <v>2065000</v>
      </c>
      <c r="H185" s="128">
        <f>SUM(H184)</f>
        <v>2065000</v>
      </c>
      <c r="I185" s="118"/>
      <c r="J185" s="119"/>
      <c r="K185" s="120"/>
    </row>
    <row r="186" spans="1:11" ht="37.5" customHeight="1">
      <c r="A186" s="136">
        <v>4.7</v>
      </c>
      <c r="B186" s="114" t="s">
        <v>288</v>
      </c>
      <c r="C186" s="141"/>
      <c r="D186" s="141"/>
      <c r="E186" s="116"/>
      <c r="F186" s="117"/>
      <c r="G186" s="115"/>
      <c r="H186" s="121"/>
      <c r="I186" s="118"/>
      <c r="J186" s="119"/>
      <c r="K186" s="120"/>
    </row>
    <row r="187" spans="1:11" ht="45.75" customHeight="1">
      <c r="A187" s="136" t="s">
        <v>289</v>
      </c>
      <c r="B187" s="145" t="s">
        <v>290</v>
      </c>
      <c r="C187" s="124">
        <f>Activities!L176</f>
        <v>0</v>
      </c>
      <c r="D187" s="124">
        <f>Activities!J176</f>
        <v>206500</v>
      </c>
      <c r="E187" s="116">
        <f>+D187-C187</f>
        <v>206500</v>
      </c>
      <c r="F187" s="124">
        <f>Activities!L176+Activities!M176</f>
        <v>147190</v>
      </c>
      <c r="G187" s="115">
        <f>Activities!J176+Activities!K176</f>
        <v>516250</v>
      </c>
      <c r="H187" s="96">
        <f>G187-F187</f>
        <v>369060</v>
      </c>
      <c r="I187" s="118"/>
      <c r="J187" s="119"/>
      <c r="K187" s="120"/>
    </row>
    <row r="188" spans="1:11" ht="37.5" customHeight="1">
      <c r="A188" s="136"/>
      <c r="B188" s="114" t="s">
        <v>57</v>
      </c>
      <c r="C188" s="128">
        <f>SUM(C187)</f>
        <v>0</v>
      </c>
      <c r="D188" s="128">
        <f>SUM(D187)</f>
        <v>206500</v>
      </c>
      <c r="E188" s="128">
        <f>SUM(E187)</f>
        <v>206500</v>
      </c>
      <c r="F188" s="128">
        <f>SUM(F187)</f>
        <v>147190</v>
      </c>
      <c r="G188" s="128">
        <f>SUM(G187)</f>
        <v>516250</v>
      </c>
      <c r="H188" s="128">
        <f>SUM(H187)</f>
        <v>369060</v>
      </c>
      <c r="I188" s="118"/>
      <c r="J188" s="119"/>
      <c r="K188" s="120"/>
    </row>
    <row r="189" spans="1:11" ht="49.5" customHeight="1">
      <c r="A189" s="136">
        <v>4.7</v>
      </c>
      <c r="B189" s="114" t="s">
        <v>291</v>
      </c>
      <c r="C189" s="115"/>
      <c r="D189" s="115"/>
      <c r="E189" s="116"/>
      <c r="F189" s="117"/>
      <c r="G189" s="115"/>
      <c r="H189" s="121"/>
      <c r="I189" s="118"/>
      <c r="J189" s="119"/>
      <c r="K189" s="120"/>
    </row>
    <row r="190" spans="1:11" ht="47.25" customHeight="1">
      <c r="A190" s="131" t="s">
        <v>289</v>
      </c>
      <c r="B190" s="145" t="s">
        <v>292</v>
      </c>
      <c r="C190" s="124">
        <f>Activities!L179</f>
        <v>0</v>
      </c>
      <c r="D190" s="124">
        <f>Activities!J179</f>
        <v>103250</v>
      </c>
      <c r="E190" s="116">
        <f>+D190-C190</f>
        <v>103250</v>
      </c>
      <c r="F190" s="124">
        <f>Activities!L179+Activities!M179</f>
        <v>0</v>
      </c>
      <c r="G190" s="115">
        <f>Activities!J179+Activities!K179</f>
        <v>103250</v>
      </c>
      <c r="H190" s="96">
        <f>G190-F190</f>
        <v>103250</v>
      </c>
      <c r="I190" s="118"/>
      <c r="J190" s="119"/>
      <c r="K190" s="120"/>
    </row>
    <row r="191" spans="1:11" ht="51.75" customHeight="1">
      <c r="A191" s="131" t="s">
        <v>293</v>
      </c>
      <c r="B191" s="145" t="s">
        <v>294</v>
      </c>
      <c r="C191" s="124">
        <f>Activities!L180</f>
        <v>0</v>
      </c>
      <c r="D191" s="124">
        <f>Activities!J180</f>
        <v>0</v>
      </c>
      <c r="E191" s="116">
        <f>+D191-C191</f>
        <v>0</v>
      </c>
      <c r="F191" s="124">
        <f>Activities!L180+Activities!M180</f>
        <v>95600</v>
      </c>
      <c r="G191" s="115">
        <f>Activities!J180+Activities!K180</f>
        <v>103250</v>
      </c>
      <c r="H191" s="96">
        <f>G191-F191</f>
        <v>7650</v>
      </c>
      <c r="I191" s="118"/>
      <c r="J191" s="119"/>
      <c r="K191" s="120"/>
    </row>
    <row r="192" spans="1:11" ht="37.5" customHeight="1">
      <c r="A192" s="136"/>
      <c r="B192" s="114" t="s">
        <v>57</v>
      </c>
      <c r="C192" s="128">
        <f>SUM(C190:C191)</f>
        <v>0</v>
      </c>
      <c r="D192" s="128">
        <f>SUM(D190:D191)</f>
        <v>103250</v>
      </c>
      <c r="E192" s="128">
        <f>SUM(E190:E191)</f>
        <v>103250</v>
      </c>
      <c r="F192" s="128">
        <f>SUM(F190:F191)</f>
        <v>95600</v>
      </c>
      <c r="G192" s="128">
        <f>SUM(G190:G191)</f>
        <v>206500</v>
      </c>
      <c r="H192" s="128">
        <f>SUM(H190:H191)</f>
        <v>110900</v>
      </c>
      <c r="I192" s="118"/>
      <c r="J192" s="119"/>
      <c r="K192" s="120"/>
    </row>
    <row r="193" spans="1:11" ht="52.5" customHeight="1">
      <c r="A193" s="113">
        <v>4.8</v>
      </c>
      <c r="B193" s="114" t="s">
        <v>295</v>
      </c>
      <c r="C193" s="115"/>
      <c r="D193" s="115"/>
      <c r="E193" s="116"/>
      <c r="F193" s="117"/>
      <c r="G193" s="115"/>
      <c r="H193" s="121"/>
      <c r="I193" s="118"/>
      <c r="J193" s="119"/>
      <c r="K193" s="120"/>
    </row>
    <row r="194" spans="1:11" ht="37.5" customHeight="1">
      <c r="A194" s="93" t="s">
        <v>296</v>
      </c>
      <c r="B194" s="129" t="s">
        <v>297</v>
      </c>
      <c r="C194" s="124">
        <f>Activities!L183</f>
        <v>1454900</v>
      </c>
      <c r="D194" s="124">
        <f>Activities!J183</f>
        <v>1470073.5</v>
      </c>
      <c r="E194" s="116">
        <f>+D194-C194</f>
        <v>15173.5</v>
      </c>
      <c r="F194" s="124">
        <f>Activities!L183+Activities!M183</f>
        <v>1454900</v>
      </c>
      <c r="G194" s="115">
        <f>Activities!J183+Activities!K183</f>
        <v>1470073.5</v>
      </c>
      <c r="H194" s="96">
        <f>G194-F194</f>
        <v>15173.5</v>
      </c>
      <c r="I194" s="118" t="s">
        <v>430</v>
      </c>
      <c r="J194" s="119"/>
      <c r="K194" s="120"/>
    </row>
    <row r="195" spans="1:11" ht="37.5" customHeight="1">
      <c r="A195" s="93" t="s">
        <v>298</v>
      </c>
      <c r="B195" s="94" t="s">
        <v>297</v>
      </c>
      <c r="C195" s="124">
        <f>Activities!L184</f>
        <v>0</v>
      </c>
      <c r="D195" s="124">
        <f>Activities!J184</f>
        <v>3097500</v>
      </c>
      <c r="E195" s="116">
        <f>+D195-C195</f>
        <v>3097500</v>
      </c>
      <c r="F195" s="124">
        <f>Activities!L184+Activities!M184</f>
        <v>3972209</v>
      </c>
      <c r="G195" s="115">
        <f>Activities!J184+Activities!K184</f>
        <v>5988500</v>
      </c>
      <c r="H195" s="96">
        <f>G195-F195</f>
        <v>2016291</v>
      </c>
      <c r="I195" s="118"/>
      <c r="J195" s="119"/>
      <c r="K195" s="120"/>
    </row>
    <row r="196" spans="1:11" ht="48.75" customHeight="1">
      <c r="A196" s="93" t="s">
        <v>299</v>
      </c>
      <c r="B196" s="129" t="s">
        <v>300</v>
      </c>
      <c r="C196" s="124">
        <f>Activities!L185</f>
        <v>28100</v>
      </c>
      <c r="D196" s="124">
        <f>Activities!J185</f>
        <v>51625</v>
      </c>
      <c r="E196" s="116">
        <f>+D196-C196</f>
        <v>23525</v>
      </c>
      <c r="F196" s="124">
        <f>Activities!L185+Activities!M185</f>
        <v>28100</v>
      </c>
      <c r="G196" s="115">
        <f>Activities!J185+Activities!K185</f>
        <v>51625</v>
      </c>
      <c r="H196" s="96">
        <f>G196-F196</f>
        <v>23525</v>
      </c>
      <c r="I196" s="118" t="s">
        <v>430</v>
      </c>
      <c r="J196" s="119"/>
      <c r="K196" s="120"/>
    </row>
    <row r="197" spans="1:11" ht="47.25" customHeight="1">
      <c r="A197" s="93" t="s">
        <v>301</v>
      </c>
      <c r="B197" s="94" t="s">
        <v>300</v>
      </c>
      <c r="C197" s="124">
        <f>Activities!L186</f>
        <v>0</v>
      </c>
      <c r="D197" s="124">
        <f>Activities!J186</f>
        <v>516250</v>
      </c>
      <c r="E197" s="116">
        <f>+D197-C197</f>
        <v>516250</v>
      </c>
      <c r="F197" s="124">
        <f>Activities!L186+Activities!M186</f>
        <v>578000</v>
      </c>
      <c r="G197" s="115">
        <f>Activities!J186+Activities!K186</f>
        <v>1032500</v>
      </c>
      <c r="H197" s="96">
        <f>G197-F197</f>
        <v>454500</v>
      </c>
      <c r="I197" s="118"/>
      <c r="J197" s="119"/>
      <c r="K197" s="120"/>
    </row>
    <row r="198" spans="1:11" ht="37.5" customHeight="1">
      <c r="A198" s="113"/>
      <c r="B198" s="114" t="s">
        <v>57</v>
      </c>
      <c r="C198" s="128">
        <f>SUM(C194:C197)</f>
        <v>1483000</v>
      </c>
      <c r="D198" s="128">
        <f>SUM(D194:D197)</f>
        <v>5135448.5</v>
      </c>
      <c r="E198" s="128">
        <f>SUM(E194:E197)</f>
        <v>3652448.5</v>
      </c>
      <c r="F198" s="128">
        <f>SUM(F194:F197)</f>
        <v>6033209</v>
      </c>
      <c r="G198" s="128">
        <f>SUM(G194:G197)</f>
        <v>8542698.5</v>
      </c>
      <c r="H198" s="128">
        <f>SUM(H194:H197)</f>
        <v>2509489.5</v>
      </c>
      <c r="I198" s="118"/>
      <c r="J198" s="119"/>
      <c r="K198" s="120"/>
    </row>
    <row r="199" spans="1:11" ht="37.5" customHeight="1">
      <c r="A199" s="113">
        <v>4.9</v>
      </c>
      <c r="B199" s="114" t="s">
        <v>302</v>
      </c>
      <c r="C199" s="115"/>
      <c r="D199" s="115"/>
      <c r="E199" s="116"/>
      <c r="F199" s="117"/>
      <c r="G199" s="115"/>
      <c r="H199" s="121"/>
      <c r="I199" s="118"/>
      <c r="J199" s="119"/>
      <c r="K199" s="120"/>
    </row>
    <row r="200" spans="1:11" ht="48.75" customHeight="1">
      <c r="A200" s="131" t="s">
        <v>303</v>
      </c>
      <c r="B200" s="129" t="s">
        <v>304</v>
      </c>
      <c r="C200" s="124">
        <f>Activities!L189</f>
        <v>410900</v>
      </c>
      <c r="D200" s="124">
        <f>Activities!J189</f>
        <v>413000</v>
      </c>
      <c r="E200" s="116">
        <f>+D200-C200</f>
        <v>2100</v>
      </c>
      <c r="F200" s="124">
        <f>Activities!L189+Activities!M189</f>
        <v>410900</v>
      </c>
      <c r="G200" s="115">
        <f>Activities!J189+Activities!K189</f>
        <v>413000</v>
      </c>
      <c r="H200" s="96">
        <f>G200-F200</f>
        <v>2100</v>
      </c>
      <c r="I200" s="118" t="s">
        <v>430</v>
      </c>
      <c r="J200" s="119"/>
      <c r="K200" s="120"/>
    </row>
    <row r="201" spans="1:11" ht="45.75" customHeight="1">
      <c r="A201" s="131" t="s">
        <v>305</v>
      </c>
      <c r="B201" s="94" t="s">
        <v>304</v>
      </c>
      <c r="C201" s="124">
        <f>Activities!L190</f>
        <v>0</v>
      </c>
      <c r="D201" s="124">
        <f>Activities!J190</f>
        <v>464625</v>
      </c>
      <c r="E201" s="116">
        <f>+D201-C201</f>
        <v>464625</v>
      </c>
      <c r="F201" s="124">
        <f>Activities!L190+Activities!M190</f>
        <v>1359900</v>
      </c>
      <c r="G201" s="115">
        <f>Activities!J190+Activities!K190</f>
        <v>826000</v>
      </c>
      <c r="H201" s="96">
        <f>G201-F201</f>
        <v>-533900</v>
      </c>
      <c r="I201" s="118"/>
      <c r="J201" s="119"/>
      <c r="K201" s="120"/>
    </row>
    <row r="202" spans="1:11" ht="37.5" customHeight="1">
      <c r="A202" s="136"/>
      <c r="B202" s="114" t="s">
        <v>57</v>
      </c>
      <c r="C202" s="128">
        <f>SUM(C200:C201)</f>
        <v>410900</v>
      </c>
      <c r="D202" s="128">
        <f>SUM(D200:D201)</f>
        <v>877625</v>
      </c>
      <c r="E202" s="128">
        <f>SUM(E200:E201)</f>
        <v>466725</v>
      </c>
      <c r="F202" s="128">
        <f>SUM(F200:F201)</f>
        <v>1770800</v>
      </c>
      <c r="G202" s="128">
        <f>SUM(G200:G201)</f>
        <v>1239000</v>
      </c>
      <c r="H202" s="128">
        <f>SUM(H200:H201)</f>
        <v>-531800</v>
      </c>
      <c r="I202" s="118"/>
      <c r="J202" s="119"/>
      <c r="K202" s="120"/>
    </row>
    <row r="203" spans="1:11" ht="37.5" customHeight="1">
      <c r="A203" s="130">
        <v>4.1</v>
      </c>
      <c r="B203" s="114" t="s">
        <v>288</v>
      </c>
      <c r="C203" s="141"/>
      <c r="D203" s="141"/>
      <c r="E203" s="116"/>
      <c r="F203" s="117"/>
      <c r="G203" s="115"/>
      <c r="H203" s="121"/>
      <c r="I203" s="118"/>
      <c r="J203" s="119"/>
      <c r="K203" s="120"/>
    </row>
    <row r="204" spans="1:11" ht="37.5" customHeight="1">
      <c r="A204" s="131" t="s">
        <v>306</v>
      </c>
      <c r="B204" s="94" t="s">
        <v>290</v>
      </c>
      <c r="C204" s="124">
        <f>Activities!L193</f>
        <v>0</v>
      </c>
      <c r="D204" s="124">
        <f>Activities!J193</f>
        <v>206500</v>
      </c>
      <c r="E204" s="116">
        <f>+D204-C204</f>
        <v>206500</v>
      </c>
      <c r="F204" s="124">
        <f>Activities!L193+Activities!M193</f>
        <v>409200</v>
      </c>
      <c r="G204" s="115">
        <f>Activities!J193+Activities!K193</f>
        <v>516250</v>
      </c>
      <c r="H204" s="96">
        <f>G204-F204</f>
        <v>107050</v>
      </c>
      <c r="I204" s="118"/>
      <c r="J204" s="119"/>
      <c r="K204" s="120"/>
    </row>
    <row r="205" spans="1:11" ht="37.5" customHeight="1">
      <c r="A205" s="136"/>
      <c r="B205" s="114" t="s">
        <v>57</v>
      </c>
      <c r="C205" s="128">
        <f>SUM(C204)</f>
        <v>0</v>
      </c>
      <c r="D205" s="128">
        <f>SUM(D204)</f>
        <v>206500</v>
      </c>
      <c r="E205" s="128">
        <f>SUM(E204)</f>
        <v>206500</v>
      </c>
      <c r="F205" s="128">
        <f>SUM(F204)</f>
        <v>409200</v>
      </c>
      <c r="G205" s="128">
        <f>SUM(G204)</f>
        <v>516250</v>
      </c>
      <c r="H205" s="128">
        <f>SUM(H204)</f>
        <v>107050</v>
      </c>
      <c r="I205" s="118"/>
      <c r="J205" s="119"/>
      <c r="K205" s="120"/>
    </row>
    <row r="206" spans="1:11" ht="37.5" customHeight="1">
      <c r="A206" s="130">
        <v>4.11</v>
      </c>
      <c r="B206" s="114" t="s">
        <v>307</v>
      </c>
      <c r="C206" s="115"/>
      <c r="D206" s="115"/>
      <c r="E206" s="116"/>
      <c r="F206" s="117"/>
      <c r="G206" s="115"/>
      <c r="H206" s="121"/>
      <c r="I206" s="118"/>
      <c r="J206" s="119"/>
      <c r="K206" s="120"/>
    </row>
    <row r="207" spans="1:11" ht="37.5" customHeight="1">
      <c r="A207" s="127" t="s">
        <v>308</v>
      </c>
      <c r="B207" s="129" t="s">
        <v>309</v>
      </c>
      <c r="C207" s="124">
        <f>Activities!L196</f>
        <v>139500</v>
      </c>
      <c r="D207" s="124">
        <f>Activities!J196</f>
        <v>361375</v>
      </c>
      <c r="E207" s="116">
        <f>+D207-C207</f>
        <v>221875</v>
      </c>
      <c r="F207" s="124">
        <f>Activities!L196+Activities!M196</f>
        <v>139500</v>
      </c>
      <c r="G207" s="115">
        <f>Activities!J196+Activities!K196</f>
        <v>361375</v>
      </c>
      <c r="H207" s="96">
        <f>G207-F207</f>
        <v>221875</v>
      </c>
      <c r="I207" s="118" t="s">
        <v>430</v>
      </c>
      <c r="J207" s="119"/>
      <c r="K207" s="120"/>
    </row>
    <row r="208" spans="1:11" ht="49.5" customHeight="1">
      <c r="A208" s="131" t="s">
        <v>310</v>
      </c>
      <c r="B208" s="145" t="s">
        <v>309</v>
      </c>
      <c r="C208" s="124">
        <f>Activities!L197</f>
        <v>0</v>
      </c>
      <c r="D208" s="124">
        <f>Activities!J197</f>
        <v>3097500</v>
      </c>
      <c r="E208" s="116">
        <f>+D208-C208</f>
        <v>3097500</v>
      </c>
      <c r="F208" s="124">
        <f>Activities!L197+Activities!M197</f>
        <v>403021</v>
      </c>
      <c r="G208" s="115">
        <f>Activities!J197+Activities!K197</f>
        <v>6195000</v>
      </c>
      <c r="H208" s="96">
        <f>G208-F208</f>
        <v>5791979</v>
      </c>
      <c r="I208" s="118"/>
      <c r="J208" s="119"/>
      <c r="K208" s="120"/>
    </row>
    <row r="209" spans="1:11" ht="37.5" customHeight="1">
      <c r="A209" s="127" t="s">
        <v>311</v>
      </c>
      <c r="B209" s="129" t="s">
        <v>312</v>
      </c>
      <c r="C209" s="124">
        <f>Activities!L198</f>
        <v>260400</v>
      </c>
      <c r="D209" s="124">
        <f>Activities!J198</f>
        <v>361375</v>
      </c>
      <c r="E209" s="116">
        <f>+D209-C209</f>
        <v>100975</v>
      </c>
      <c r="F209" s="124">
        <f>Activities!L198+Activities!M198</f>
        <v>260400</v>
      </c>
      <c r="G209" s="115">
        <f>Activities!J198+Activities!K198</f>
        <v>361375</v>
      </c>
      <c r="H209" s="96">
        <f>G209-F209</f>
        <v>100975</v>
      </c>
      <c r="I209" s="118" t="s">
        <v>430</v>
      </c>
      <c r="J209" s="119"/>
      <c r="K209" s="120"/>
    </row>
    <row r="210" spans="1:11" ht="37.5" customHeight="1">
      <c r="A210" s="131" t="s">
        <v>313</v>
      </c>
      <c r="B210" s="94" t="s">
        <v>312</v>
      </c>
      <c r="C210" s="124">
        <f>Activities!L199</f>
        <v>0</v>
      </c>
      <c r="D210" s="124">
        <f>Activities!J199</f>
        <v>3097500</v>
      </c>
      <c r="E210" s="116">
        <f>+D210-C210</f>
        <v>3097500</v>
      </c>
      <c r="F210" s="124">
        <f>Activities!L199+Activities!M199</f>
        <v>940966</v>
      </c>
      <c r="G210" s="115">
        <f>Activities!J199+Activities!K199</f>
        <v>6195000</v>
      </c>
      <c r="H210" s="96">
        <f>G210-F210</f>
        <v>5254034</v>
      </c>
      <c r="I210" s="118"/>
      <c r="J210" s="119"/>
      <c r="K210" s="120"/>
    </row>
    <row r="211" spans="1:11" ht="37.5" customHeight="1">
      <c r="A211" s="136"/>
      <c r="B211" s="114" t="s">
        <v>57</v>
      </c>
      <c r="C211" s="128">
        <f>SUM(C207:C210)</f>
        <v>399900</v>
      </c>
      <c r="D211" s="128">
        <f>SUM(D207:D210)</f>
        <v>6917750</v>
      </c>
      <c r="E211" s="128">
        <f>SUM(E207:E210)</f>
        <v>6517850</v>
      </c>
      <c r="F211" s="128">
        <f>SUM(F207:F210)</f>
        <v>1743887</v>
      </c>
      <c r="G211" s="128">
        <f>SUM(G207:G210)</f>
        <v>13112750</v>
      </c>
      <c r="H211" s="128">
        <f>SUM(H207:H210)</f>
        <v>11368863</v>
      </c>
      <c r="I211" s="118"/>
      <c r="J211" s="119"/>
      <c r="K211" s="120"/>
    </row>
    <row r="212" spans="1:11" ht="43.5">
      <c r="A212" s="130">
        <v>4.12</v>
      </c>
      <c r="B212" s="114" t="s">
        <v>314</v>
      </c>
      <c r="C212" s="115"/>
      <c r="D212" s="115"/>
      <c r="E212" s="116"/>
      <c r="F212" s="117"/>
      <c r="G212" s="115"/>
      <c r="H212" s="121"/>
      <c r="I212" s="118"/>
      <c r="J212" s="119"/>
      <c r="K212" s="120"/>
    </row>
    <row r="213" spans="1:11" ht="73.5">
      <c r="A213" s="131" t="s">
        <v>315</v>
      </c>
      <c r="B213" s="129" t="s">
        <v>316</v>
      </c>
      <c r="C213" s="124">
        <f>Activities!L202</f>
        <v>1472524</v>
      </c>
      <c r="D213" s="124">
        <f>Activities!J202</f>
        <v>1472551.5</v>
      </c>
      <c r="E213" s="116">
        <f>+D213-C213</f>
        <v>27.5</v>
      </c>
      <c r="F213" s="124">
        <f>Activities!L202+Activities!M202</f>
        <v>1472524</v>
      </c>
      <c r="G213" s="115">
        <f>Activities!J202+Activities!K202</f>
        <v>1472551.5</v>
      </c>
      <c r="H213" s="96">
        <f>G213-F213</f>
        <v>27.5</v>
      </c>
      <c r="I213" s="118"/>
      <c r="J213" s="119"/>
      <c r="K213" s="120"/>
    </row>
    <row r="214" spans="1:11" ht="73.5">
      <c r="A214" s="131" t="s">
        <v>317</v>
      </c>
      <c r="B214" s="145" t="s">
        <v>316</v>
      </c>
      <c r="C214" s="124">
        <f>Activities!L203</f>
        <v>0</v>
      </c>
      <c r="D214" s="124">
        <f>Activities!J203</f>
        <v>619500</v>
      </c>
      <c r="E214" s="116">
        <f>+D214-C214</f>
        <v>619500</v>
      </c>
      <c r="F214" s="124">
        <f>Activities!L203+Activities!M203</f>
        <v>1036870</v>
      </c>
      <c r="G214" s="115">
        <f>Activities!J203+Activities!K203</f>
        <v>1032500</v>
      </c>
      <c r="H214" s="96">
        <f>G214-F214</f>
        <v>-4370</v>
      </c>
      <c r="I214" s="118"/>
      <c r="J214" s="119"/>
      <c r="K214" s="120"/>
    </row>
    <row r="215" spans="1:11" ht="29.25">
      <c r="A215" s="131" t="s">
        <v>318</v>
      </c>
      <c r="B215" s="129" t="s">
        <v>319</v>
      </c>
      <c r="C215" s="124">
        <f>Activities!L204</f>
        <v>0</v>
      </c>
      <c r="D215" s="124">
        <f>Activities!J204</f>
        <v>206500</v>
      </c>
      <c r="E215" s="116">
        <f>+D215-C215</f>
        <v>206500</v>
      </c>
      <c r="F215" s="124">
        <f>Activities!L204+Activities!M204</f>
        <v>241200</v>
      </c>
      <c r="G215" s="115">
        <f>Activities!J204+Activities!K204</f>
        <v>206500</v>
      </c>
      <c r="H215" s="96">
        <f>G215-F215</f>
        <v>-34700</v>
      </c>
      <c r="I215" s="118"/>
      <c r="J215" s="119"/>
      <c r="K215" s="120"/>
    </row>
    <row r="216" spans="1:11" ht="29.25">
      <c r="A216" s="131" t="s">
        <v>320</v>
      </c>
      <c r="B216" s="94" t="s">
        <v>319</v>
      </c>
      <c r="C216" s="124">
        <f>Activities!L205</f>
        <v>0</v>
      </c>
      <c r="D216" s="124">
        <f>Activities!J205</f>
        <v>154875</v>
      </c>
      <c r="E216" s="116">
        <f>+D216-C216</f>
        <v>154875</v>
      </c>
      <c r="F216" s="124">
        <f>Activities!L205+Activities!M205</f>
        <v>0</v>
      </c>
      <c r="G216" s="115">
        <f>Activities!J205+Activities!K205</f>
        <v>516250</v>
      </c>
      <c r="H216" s="96">
        <f>G216-F216</f>
        <v>516250</v>
      </c>
      <c r="I216" s="118"/>
      <c r="J216" s="119"/>
      <c r="K216" s="120"/>
    </row>
    <row r="217" spans="1:11" ht="37.5" customHeight="1">
      <c r="A217" s="136"/>
      <c r="B217" s="114" t="s">
        <v>57</v>
      </c>
      <c r="C217" s="128">
        <f>SUM(C213:C216)</f>
        <v>1472524</v>
      </c>
      <c r="D217" s="128">
        <f>SUM(D213:D216)</f>
        <v>2453426.5</v>
      </c>
      <c r="E217" s="128">
        <f>SUM(E213:E216)</f>
        <v>980902.5</v>
      </c>
      <c r="F217" s="128">
        <f>SUM(F213:F216)</f>
        <v>2750594</v>
      </c>
      <c r="G217" s="128">
        <f>SUM(G213:G216)</f>
        <v>3227801.5</v>
      </c>
      <c r="H217" s="128">
        <f>SUM(H213:H216)</f>
        <v>477207.5</v>
      </c>
      <c r="I217" s="118"/>
      <c r="J217" s="119"/>
      <c r="K217" s="120"/>
    </row>
    <row r="218" spans="1:11" ht="37.5" customHeight="1">
      <c r="A218" s="136">
        <v>4.13</v>
      </c>
      <c r="B218" s="114" t="s">
        <v>321</v>
      </c>
      <c r="C218" s="115"/>
      <c r="D218" s="115"/>
      <c r="E218" s="116"/>
      <c r="F218" s="117"/>
      <c r="G218" s="115"/>
      <c r="H218" s="121"/>
      <c r="I218" s="118"/>
      <c r="J218" s="119"/>
      <c r="K218" s="120"/>
    </row>
    <row r="219" spans="1:11" ht="37.5" customHeight="1">
      <c r="A219" s="131" t="s">
        <v>322</v>
      </c>
      <c r="B219" s="94" t="s">
        <v>323</v>
      </c>
      <c r="C219" s="124">
        <f>Activities!L208</f>
        <v>0</v>
      </c>
      <c r="D219" s="124">
        <f>Activities!J208</f>
        <v>413000</v>
      </c>
      <c r="E219" s="116">
        <f>+D219-C219</f>
        <v>413000</v>
      </c>
      <c r="F219" s="124">
        <f>Activities!L208+Activities!M208</f>
        <v>0</v>
      </c>
      <c r="G219" s="115">
        <f>Activities!J208+Activities!K208</f>
        <v>1032500</v>
      </c>
      <c r="H219" s="96">
        <f>G219-F219</f>
        <v>1032500</v>
      </c>
      <c r="I219" s="118"/>
      <c r="J219" s="119"/>
      <c r="K219" s="120"/>
    </row>
    <row r="220" spans="1:11" ht="37.5" customHeight="1">
      <c r="A220" s="151"/>
      <c r="B220" s="94" t="s">
        <v>325</v>
      </c>
      <c r="C220" s="124">
        <f>Activities!L209</f>
        <v>0</v>
      </c>
      <c r="D220" s="124">
        <f>Activities!J209</f>
        <v>103250</v>
      </c>
      <c r="E220" s="116">
        <f>+D220-C220</f>
        <v>103250</v>
      </c>
      <c r="F220" s="124">
        <f>Activities!L209+Activities!M209</f>
        <v>0</v>
      </c>
      <c r="G220" s="115">
        <f>Activities!J209+Activities!K209</f>
        <v>516250</v>
      </c>
      <c r="H220" s="96">
        <f>G220-F220</f>
        <v>516250</v>
      </c>
      <c r="I220" s="118"/>
      <c r="J220" s="119"/>
      <c r="K220" s="120"/>
    </row>
    <row r="221" spans="1:11" ht="37.5" customHeight="1">
      <c r="A221" s="136"/>
      <c r="B221" s="114" t="s">
        <v>57</v>
      </c>
      <c r="C221" s="128">
        <f>SUM(C219:C220)</f>
        <v>0</v>
      </c>
      <c r="D221" s="128">
        <f>SUM(D219:D220)</f>
        <v>516250</v>
      </c>
      <c r="E221" s="128">
        <f>SUM(E219:E220)</f>
        <v>516250</v>
      </c>
      <c r="F221" s="128">
        <f>SUM(F219:F220)</f>
        <v>0</v>
      </c>
      <c r="G221" s="128">
        <f>SUM(G219:G220)</f>
        <v>1548750</v>
      </c>
      <c r="H221" s="128">
        <f>SUM(H219:H220)</f>
        <v>1548750</v>
      </c>
      <c r="I221" s="118"/>
      <c r="J221" s="119"/>
      <c r="K221" s="120"/>
    </row>
    <row r="222" spans="1:11" ht="37.5" customHeight="1">
      <c r="A222" s="130">
        <v>4.14</v>
      </c>
      <c r="B222" s="114" t="s">
        <v>326</v>
      </c>
      <c r="C222" s="115"/>
      <c r="D222" s="115"/>
      <c r="E222" s="116"/>
      <c r="F222" s="117"/>
      <c r="G222" s="115"/>
      <c r="H222" s="121"/>
      <c r="I222" s="118"/>
      <c r="J222" s="119"/>
      <c r="K222" s="120"/>
    </row>
    <row r="223" spans="1:11" ht="37.5" customHeight="1">
      <c r="A223" s="131" t="s">
        <v>327</v>
      </c>
      <c r="B223" s="94" t="s">
        <v>328</v>
      </c>
      <c r="C223" s="124">
        <f>Activities!L212</f>
        <v>0</v>
      </c>
      <c r="D223" s="124">
        <f>Activities!J212</f>
        <v>0</v>
      </c>
      <c r="E223" s="116">
        <f>+D223-C223</f>
        <v>0</v>
      </c>
      <c r="F223" s="124">
        <f>Activities!L212+Activities!M212</f>
        <v>0</v>
      </c>
      <c r="G223" s="115">
        <f>Activities!J212+Activities!K212</f>
        <v>154875</v>
      </c>
      <c r="H223" s="96">
        <f>G223-F223</f>
        <v>154875</v>
      </c>
      <c r="I223" s="118"/>
      <c r="J223" s="119"/>
      <c r="K223" s="120"/>
    </row>
    <row r="224" spans="1:11" ht="37.5" customHeight="1">
      <c r="A224" s="127" t="s">
        <v>329</v>
      </c>
      <c r="B224" s="129" t="s">
        <v>330</v>
      </c>
      <c r="C224" s="124">
        <f>Activities!L213</f>
        <v>61100</v>
      </c>
      <c r="D224" s="124">
        <f>Activities!J213</f>
        <v>206500</v>
      </c>
      <c r="E224" s="116">
        <f>+D224-C224</f>
        <v>145400</v>
      </c>
      <c r="F224" s="124">
        <f>Activities!L213+Activities!M213</f>
        <v>134310</v>
      </c>
      <c r="G224" s="115">
        <f>Activities!J213+Activities!K213</f>
        <v>206500</v>
      </c>
      <c r="H224" s="96">
        <f>G224-F224</f>
        <v>72190</v>
      </c>
      <c r="I224" s="118" t="s">
        <v>430</v>
      </c>
      <c r="J224" s="119"/>
      <c r="K224" s="120"/>
    </row>
    <row r="225" spans="1:11" ht="37.5" customHeight="1">
      <c r="A225" s="131" t="s">
        <v>331</v>
      </c>
      <c r="B225" s="94" t="s">
        <v>330</v>
      </c>
      <c r="C225" s="124">
        <f>Activities!L214</f>
        <v>0</v>
      </c>
      <c r="D225" s="124">
        <f>Activities!J214</f>
        <v>103250</v>
      </c>
      <c r="E225" s="116">
        <f>+D225-C225</f>
        <v>103250</v>
      </c>
      <c r="F225" s="124">
        <f>Activities!L214+Activities!M214</f>
        <v>41250</v>
      </c>
      <c r="G225" s="115">
        <f>Activities!J214+Activities!K214</f>
        <v>154875</v>
      </c>
      <c r="H225" s="96">
        <f>G225-F225</f>
        <v>113625</v>
      </c>
      <c r="I225" s="118"/>
      <c r="J225" s="119"/>
      <c r="K225" s="120"/>
    </row>
    <row r="226" spans="1:11" ht="37.5" customHeight="1">
      <c r="A226" s="127" t="s">
        <v>332</v>
      </c>
      <c r="B226" s="129" t="s">
        <v>333</v>
      </c>
      <c r="C226" s="124">
        <f>Activities!L215</f>
        <v>825236</v>
      </c>
      <c r="D226" s="124">
        <f>Activities!J215</f>
        <v>826000</v>
      </c>
      <c r="E226" s="116">
        <f>+D226-C226</f>
        <v>764</v>
      </c>
      <c r="F226" s="124">
        <f>Activities!L215+Activities!M215</f>
        <v>825236</v>
      </c>
      <c r="G226" s="115">
        <f>Activities!J215+Activities!K215</f>
        <v>826000</v>
      </c>
      <c r="H226" s="96">
        <f>G226-F226</f>
        <v>764</v>
      </c>
      <c r="I226" s="118"/>
      <c r="J226" s="119"/>
      <c r="K226" s="120"/>
    </row>
    <row r="227" spans="1:11" ht="37.5" customHeight="1">
      <c r="A227" s="131" t="s">
        <v>334</v>
      </c>
      <c r="B227" s="94" t="s">
        <v>333</v>
      </c>
      <c r="C227" s="124">
        <f>Activities!L216</f>
        <v>0</v>
      </c>
      <c r="D227" s="124">
        <f>Activities!J216</f>
        <v>516250</v>
      </c>
      <c r="E227" s="116">
        <f>+D227-C227</f>
        <v>516250</v>
      </c>
      <c r="F227" s="124">
        <f>Activities!L216+Activities!M216</f>
        <v>388900</v>
      </c>
      <c r="G227" s="115">
        <f>Activities!J216+Activities!K216</f>
        <v>1239000</v>
      </c>
      <c r="H227" s="96">
        <f>G227-F227</f>
        <v>850100</v>
      </c>
      <c r="I227" s="118"/>
      <c r="J227" s="119"/>
      <c r="K227" s="120"/>
    </row>
    <row r="228" spans="1:11" ht="37.5" customHeight="1">
      <c r="A228" s="136"/>
      <c r="B228" s="114" t="s">
        <v>57</v>
      </c>
      <c r="C228" s="128">
        <f>SUM(C223:C227)</f>
        <v>886336</v>
      </c>
      <c r="D228" s="128">
        <f>SUM(D223:D227)</f>
        <v>1652000</v>
      </c>
      <c r="E228" s="128">
        <f>SUM(E223:E227)</f>
        <v>765664</v>
      </c>
      <c r="F228" s="128">
        <f>SUM(F223:F227)</f>
        <v>1389696</v>
      </c>
      <c r="G228" s="128">
        <f>SUM(G223:G227)</f>
        <v>2581250</v>
      </c>
      <c r="H228" s="128">
        <f>SUM(H223:H227)</f>
        <v>1191554</v>
      </c>
      <c r="I228" s="118"/>
      <c r="J228" s="119"/>
      <c r="K228" s="120"/>
    </row>
    <row r="229" spans="1:11" ht="47.25" customHeight="1">
      <c r="A229" s="136">
        <v>4.18</v>
      </c>
      <c r="B229" s="114" t="s">
        <v>335</v>
      </c>
      <c r="C229" s="115"/>
      <c r="D229" s="115"/>
      <c r="E229" s="116"/>
      <c r="F229" s="117"/>
      <c r="G229" s="115"/>
      <c r="H229" s="121"/>
      <c r="I229" s="118"/>
      <c r="J229" s="119"/>
      <c r="K229" s="120"/>
    </row>
    <row r="230" spans="1:11" ht="37.5" customHeight="1">
      <c r="A230" s="127" t="s">
        <v>336</v>
      </c>
      <c r="B230" s="129" t="s">
        <v>337</v>
      </c>
      <c r="C230" s="124">
        <f>Activities!L219</f>
        <v>669000</v>
      </c>
      <c r="D230" s="124">
        <f>Activities!J219</f>
        <v>826000</v>
      </c>
      <c r="E230" s="116">
        <f>+D230-C230</f>
        <v>157000</v>
      </c>
      <c r="F230" s="124">
        <f>Activities!L219+Activities!M219</f>
        <v>669000</v>
      </c>
      <c r="G230" s="115">
        <f>Activities!J219+Activities!K219</f>
        <v>826000</v>
      </c>
      <c r="H230" s="96">
        <f>G230-F230</f>
        <v>157000</v>
      </c>
      <c r="I230" s="118"/>
      <c r="J230" s="119"/>
      <c r="K230" s="120"/>
    </row>
    <row r="231" spans="1:11" ht="37.5" customHeight="1">
      <c r="A231" s="131" t="s">
        <v>338</v>
      </c>
      <c r="B231" s="94" t="s">
        <v>337</v>
      </c>
      <c r="C231" s="124">
        <f>Activities!L220</f>
        <v>0</v>
      </c>
      <c r="D231" s="124">
        <f>Activities!J220</f>
        <v>826000</v>
      </c>
      <c r="E231" s="116">
        <f>+D231-C231</f>
        <v>826000</v>
      </c>
      <c r="F231" s="124">
        <f>Activities!L220+Activities!M220</f>
        <v>0</v>
      </c>
      <c r="G231" s="115">
        <f>Activities!J220+Activities!K220</f>
        <v>1445500</v>
      </c>
      <c r="H231" s="96">
        <f>G231-F231</f>
        <v>1445500</v>
      </c>
      <c r="I231" s="118"/>
      <c r="J231" s="119"/>
      <c r="K231" s="120"/>
    </row>
    <row r="232" spans="1:11" ht="37.5" customHeight="1">
      <c r="A232" s="136"/>
      <c r="B232" s="114" t="s">
        <v>57</v>
      </c>
      <c r="C232" s="128">
        <f>SUM(C230:C231)</f>
        <v>669000</v>
      </c>
      <c r="D232" s="128">
        <f>SUM(D230:D231)</f>
        <v>1652000</v>
      </c>
      <c r="E232" s="128">
        <f>SUM(E230:E231)</f>
        <v>983000</v>
      </c>
      <c r="F232" s="128">
        <f>SUM(F230:F231)</f>
        <v>669000</v>
      </c>
      <c r="G232" s="128">
        <f>SUM(G230:G231)</f>
        <v>2271500</v>
      </c>
      <c r="H232" s="128">
        <f>SUM(H230:H231)</f>
        <v>1602500</v>
      </c>
      <c r="I232" s="118"/>
      <c r="J232" s="119"/>
      <c r="K232" s="120"/>
    </row>
    <row r="233" spans="1:11" ht="37.5" customHeight="1">
      <c r="A233" s="143"/>
      <c r="B233" s="134" t="s">
        <v>339</v>
      </c>
      <c r="C233" s="135">
        <f>+C169+C171+C174+C176+C183+C185+C188+C192+C198+C202+C205+C211+C217+C221+C228+C232</f>
        <v>14113092</v>
      </c>
      <c r="D233" s="135">
        <f>+D169+D171+D174+D176+D183+D185+D188+D192+D198+D202+D205+D211+D217+D221+D228+D232</f>
        <v>64885604</v>
      </c>
      <c r="E233" s="135">
        <f>+E169+E171+E174+E176+E183+E185+E188+E192+E198+E202+E205+E211+E217+E221+E228+E232</f>
        <v>50772512</v>
      </c>
      <c r="F233" s="135">
        <f>+F169+F171+F174+F176+F183+F185+F188+F192+F198+F202+F205+F211+F217+F221+F228+F232</f>
        <v>30745890</v>
      </c>
      <c r="G233" s="135">
        <f>+G169+G171+G174+G176+G183+G185+G188+G192+G198+G202+G205+G211+G217+G221+G228+G232</f>
        <v>121776354</v>
      </c>
      <c r="H233" s="135">
        <f>+H169+H171+H174+H176+H183+H185+H188+H192+H198+H202+H205+H211+H217+H221+H228+H232</f>
        <v>91030464</v>
      </c>
      <c r="I233" s="118"/>
      <c r="J233" s="119"/>
      <c r="K233" s="120"/>
    </row>
    <row r="234" spans="1:11" ht="37.5" customHeight="1">
      <c r="A234" s="113">
        <v>6</v>
      </c>
      <c r="B234" s="132" t="s">
        <v>340</v>
      </c>
      <c r="C234" s="115"/>
      <c r="D234" s="115"/>
      <c r="E234" s="116"/>
      <c r="F234" s="117"/>
      <c r="G234" s="115">
        <v>0</v>
      </c>
      <c r="H234" s="121"/>
      <c r="I234" s="118"/>
      <c r="J234" s="119"/>
      <c r="K234" s="120"/>
    </row>
    <row r="235" spans="1:11" ht="37.5" customHeight="1">
      <c r="A235" s="131" t="s">
        <v>341</v>
      </c>
      <c r="B235" s="94" t="s">
        <v>342</v>
      </c>
      <c r="C235" s="124">
        <f>Activities!L224</f>
        <v>0</v>
      </c>
      <c r="D235" s="124">
        <f>Activities!J224</f>
        <v>0</v>
      </c>
      <c r="E235" s="116">
        <f>+D235-C235</f>
        <v>0</v>
      </c>
      <c r="F235" s="124">
        <f>Activities!L224+Activities!M224</f>
        <v>0</v>
      </c>
      <c r="G235" s="115">
        <f>Activities!J224+Activities!K224</f>
        <v>0</v>
      </c>
      <c r="H235" s="96">
        <f>G235-F235</f>
        <v>0</v>
      </c>
      <c r="I235" s="118"/>
      <c r="J235" s="119"/>
      <c r="K235" s="120"/>
    </row>
    <row r="236" spans="1:11" ht="37.5" customHeight="1">
      <c r="A236" s="131" t="s">
        <v>343</v>
      </c>
      <c r="B236" s="94" t="s">
        <v>344</v>
      </c>
      <c r="C236" s="124">
        <f>Activities!L225</f>
        <v>0</v>
      </c>
      <c r="D236" s="124">
        <f>Activities!J225</f>
        <v>0</v>
      </c>
      <c r="E236" s="116">
        <f>+D236-C236</f>
        <v>0</v>
      </c>
      <c r="F236" s="124">
        <f>Activities!L225+Activities!M225</f>
        <v>0</v>
      </c>
      <c r="G236" s="115">
        <f>Activities!J225+Activities!K225</f>
        <v>51625</v>
      </c>
      <c r="H236" s="96">
        <f>G236-F236</f>
        <v>51625</v>
      </c>
      <c r="I236" s="118"/>
      <c r="J236" s="119"/>
      <c r="K236" s="120"/>
    </row>
    <row r="237" spans="1:11" ht="37.5" customHeight="1">
      <c r="A237" s="131" t="s">
        <v>345</v>
      </c>
      <c r="B237" s="94" t="s">
        <v>346</v>
      </c>
      <c r="C237" s="124">
        <f>Activities!L226</f>
        <v>0</v>
      </c>
      <c r="D237" s="124">
        <f>Activities!J226</f>
        <v>0</v>
      </c>
      <c r="E237" s="116">
        <f>+D237-C237</f>
        <v>0</v>
      </c>
      <c r="F237" s="124">
        <f>Activities!L226+Activities!M226</f>
        <v>0</v>
      </c>
      <c r="G237" s="115">
        <f>Activities!J226+Activities!K226</f>
        <v>0</v>
      </c>
      <c r="H237" s="96">
        <f>G237-F237</f>
        <v>0</v>
      </c>
      <c r="I237" s="118"/>
      <c r="J237" s="119"/>
      <c r="K237" s="120"/>
    </row>
    <row r="238" spans="1:11" ht="37.5" customHeight="1">
      <c r="A238" s="131" t="s">
        <v>347</v>
      </c>
      <c r="B238" s="94" t="s">
        <v>348</v>
      </c>
      <c r="C238" s="124">
        <f>Activities!L227</f>
        <v>0</v>
      </c>
      <c r="D238" s="124">
        <f>Activities!J227</f>
        <v>0</v>
      </c>
      <c r="E238" s="116">
        <f>+D238-C238</f>
        <v>0</v>
      </c>
      <c r="F238" s="124">
        <f>Activities!L227+Activities!M227</f>
        <v>0</v>
      </c>
      <c r="G238" s="115">
        <f>Activities!J227+Activities!K227</f>
        <v>0</v>
      </c>
      <c r="H238" s="96">
        <f>G238-F238</f>
        <v>0</v>
      </c>
      <c r="I238" s="118"/>
      <c r="J238" s="119"/>
      <c r="K238" s="120"/>
    </row>
    <row r="239" spans="1:11" ht="37.5" customHeight="1">
      <c r="A239" s="143"/>
      <c r="B239" s="134" t="s">
        <v>57</v>
      </c>
      <c r="C239" s="135">
        <f>SUM(C235:C238)</f>
        <v>0</v>
      </c>
      <c r="D239" s="135">
        <f>SUM(D235:D238)</f>
        <v>0</v>
      </c>
      <c r="E239" s="135">
        <f>SUM(E235:E238)</f>
        <v>0</v>
      </c>
      <c r="F239" s="135">
        <f>SUM(F235:F238)</f>
        <v>0</v>
      </c>
      <c r="G239" s="135">
        <f>SUM(G235:G238)</f>
        <v>51625</v>
      </c>
      <c r="H239" s="135">
        <f>SUM(H235:H238)</f>
        <v>51625</v>
      </c>
      <c r="I239" s="118"/>
      <c r="J239" s="119"/>
      <c r="K239" s="120"/>
    </row>
    <row r="240" spans="1:11" ht="37.5" customHeight="1">
      <c r="A240" s="113">
        <v>7</v>
      </c>
      <c r="B240" s="132" t="s">
        <v>349</v>
      </c>
      <c r="C240" s="115"/>
      <c r="D240" s="115"/>
      <c r="E240" s="116">
        <f>+D240-C240</f>
        <v>0</v>
      </c>
      <c r="F240" s="117"/>
      <c r="G240" s="115"/>
      <c r="H240" s="121">
        <f>G240-F240</f>
        <v>0</v>
      </c>
      <c r="I240" s="118"/>
      <c r="J240" s="119"/>
      <c r="K240" s="120"/>
    </row>
    <row r="241" spans="1:11" ht="37.5" customHeight="1">
      <c r="A241" s="127" t="s">
        <v>350</v>
      </c>
      <c r="B241" s="126" t="s">
        <v>351</v>
      </c>
      <c r="C241" s="124">
        <f>Activities!L230</f>
        <v>0</v>
      </c>
      <c r="D241" s="124">
        <f>Activities!J230</f>
        <v>0</v>
      </c>
      <c r="E241" s="116">
        <f>+D241-C241</f>
        <v>0</v>
      </c>
      <c r="F241" s="124">
        <f>Activities!L230+Activities!M230</f>
        <v>0</v>
      </c>
      <c r="G241" s="115">
        <f>Activities!J230+Activities!K230</f>
        <v>51625</v>
      </c>
      <c r="H241" s="96">
        <f>G241-F241</f>
        <v>51625</v>
      </c>
      <c r="I241" s="118"/>
      <c r="J241" s="119"/>
      <c r="K241" s="120"/>
    </row>
    <row r="242" spans="1:11" ht="37.5" customHeight="1">
      <c r="A242" s="127" t="s">
        <v>352</v>
      </c>
      <c r="B242" s="126" t="s">
        <v>353</v>
      </c>
      <c r="C242" s="124">
        <f>Activities!M231</f>
        <v>0</v>
      </c>
      <c r="D242" s="124">
        <f>Activities!K231</f>
        <v>0</v>
      </c>
      <c r="E242" s="116">
        <f>+D242-C242</f>
        <v>0</v>
      </c>
      <c r="F242" s="124">
        <f>Activities!L231+Activities!M231</f>
        <v>0</v>
      </c>
      <c r="G242" s="115">
        <f>Activities!J231+Activities!K231</f>
        <v>0</v>
      </c>
      <c r="H242" s="96">
        <f>G242-F242</f>
        <v>0</v>
      </c>
      <c r="I242" s="118"/>
      <c r="J242" s="119"/>
      <c r="K242" s="120"/>
    </row>
    <row r="243" spans="1:11" ht="37.5" customHeight="1">
      <c r="A243" s="143"/>
      <c r="B243" s="134" t="s">
        <v>57</v>
      </c>
      <c r="C243" s="135">
        <f>SUM(C241:C242)</f>
        <v>0</v>
      </c>
      <c r="D243" s="135">
        <f>SUM(D241:D242)</f>
        <v>0</v>
      </c>
      <c r="E243" s="135">
        <f>SUM(E241:E242)</f>
        <v>0</v>
      </c>
      <c r="F243" s="135">
        <f>SUM(F241:F242)</f>
        <v>0</v>
      </c>
      <c r="G243" s="135">
        <f>SUM(G241:G242)</f>
        <v>51625</v>
      </c>
      <c r="H243" s="135">
        <f>SUM(H241:H242)</f>
        <v>51625</v>
      </c>
      <c r="I243" s="118"/>
      <c r="J243" s="119"/>
      <c r="K243" s="120"/>
    </row>
    <row r="244" spans="1:11" s="75" customFormat="1" ht="37.5" customHeight="1">
      <c r="A244" s="152"/>
      <c r="B244" s="153"/>
      <c r="C244" s="154">
        <f aca="true" t="shared" si="8" ref="C244:H244">+C45+C90+C118+C233+C239+C243</f>
        <v>29646792</v>
      </c>
      <c r="D244" s="154">
        <f t="shared" si="8"/>
        <v>111946747.5</v>
      </c>
      <c r="E244" s="154">
        <f t="shared" si="8"/>
        <v>82299955.5</v>
      </c>
      <c r="F244" s="154">
        <f t="shared" si="8"/>
        <v>80199478</v>
      </c>
      <c r="G244" s="154">
        <f t="shared" si="8"/>
        <v>197336252.75</v>
      </c>
      <c r="H244" s="154">
        <f t="shared" si="8"/>
        <v>118788774.75</v>
      </c>
      <c r="I244" s="82"/>
      <c r="J244" s="147"/>
      <c r="K244" s="148"/>
    </row>
    <row r="245" spans="1:11" ht="37.5" customHeight="1">
      <c r="A245" s="113">
        <v>8</v>
      </c>
      <c r="B245" s="132" t="s">
        <v>19</v>
      </c>
      <c r="C245" s="115"/>
      <c r="D245" s="115"/>
      <c r="E245" s="116"/>
      <c r="F245" s="117"/>
      <c r="G245" s="115"/>
      <c r="H245" s="121"/>
      <c r="I245" s="118"/>
      <c r="J245" s="119"/>
      <c r="K245" s="120"/>
    </row>
    <row r="246" spans="1:11" ht="37.5" customHeight="1">
      <c r="A246" s="127">
        <v>8.1</v>
      </c>
      <c r="B246" s="155" t="s">
        <v>354</v>
      </c>
      <c r="C246" s="124">
        <f>Activities!L235</f>
        <v>857500</v>
      </c>
      <c r="D246" s="124">
        <f>Activities!K235</f>
        <v>542805.5</v>
      </c>
      <c r="E246" s="116">
        <f>+D246-C246</f>
        <v>-314694.5</v>
      </c>
      <c r="F246" s="124">
        <f>Activities!L235+Activities!M235</f>
        <v>2391100</v>
      </c>
      <c r="G246" s="115">
        <f>Activities!J235+Activities!K235</f>
        <v>1400400</v>
      </c>
      <c r="H246" s="96">
        <f>G246-F246</f>
        <v>-990700</v>
      </c>
      <c r="I246" s="118"/>
      <c r="J246" s="119"/>
      <c r="K246" s="120"/>
    </row>
    <row r="247" spans="1:11" ht="37.5" customHeight="1">
      <c r="A247" s="143"/>
      <c r="B247" s="134" t="s">
        <v>57</v>
      </c>
      <c r="C247" s="135">
        <f>SUM(C246)</f>
        <v>857500</v>
      </c>
      <c r="D247" s="135">
        <f>SUM(D246)</f>
        <v>542805.5</v>
      </c>
      <c r="E247" s="135">
        <f>SUM(E246)</f>
        <v>-314694.5</v>
      </c>
      <c r="F247" s="135">
        <f>SUM(F246)</f>
        <v>2391100</v>
      </c>
      <c r="G247" s="135">
        <f>SUM(G246)</f>
        <v>1400400</v>
      </c>
      <c r="H247" s="135">
        <f>SUM(H246)</f>
        <v>-990700</v>
      </c>
      <c r="I247" s="118"/>
      <c r="J247" s="119"/>
      <c r="K247" s="120"/>
    </row>
    <row r="248" spans="1:11" ht="37.5" customHeight="1">
      <c r="A248" s="113">
        <v>9</v>
      </c>
      <c r="B248" s="132" t="s">
        <v>20</v>
      </c>
      <c r="C248" s="115"/>
      <c r="D248" s="115"/>
      <c r="E248" s="116"/>
      <c r="F248" s="117"/>
      <c r="G248" s="115"/>
      <c r="H248" s="121"/>
      <c r="I248" s="118"/>
      <c r="J248" s="119"/>
      <c r="K248" s="120"/>
    </row>
    <row r="249" spans="1:11" ht="37.5" customHeight="1">
      <c r="A249" s="127">
        <v>9.1</v>
      </c>
      <c r="B249" s="155" t="s">
        <v>417</v>
      </c>
      <c r="C249" s="124">
        <f>Activities!L242</f>
        <v>4052388</v>
      </c>
      <c r="D249" s="124">
        <f>Activities!K238</f>
        <v>10411310.9925</v>
      </c>
      <c r="E249" s="116">
        <f>+D249-C249</f>
        <v>6358922.9925</v>
      </c>
      <c r="F249" s="124">
        <f>Activities!L238+Activities!M238</f>
        <v>5434340</v>
      </c>
      <c r="G249" s="115">
        <f>Activities!J238+Activities!K238</f>
        <v>14463699</v>
      </c>
      <c r="H249" s="96">
        <f>G249-F249</f>
        <v>9029359</v>
      </c>
      <c r="I249" s="118"/>
      <c r="J249" s="119"/>
      <c r="K249" s="120"/>
    </row>
    <row r="250" spans="1:11" ht="37.5" customHeight="1">
      <c r="A250" s="127" t="s">
        <v>355</v>
      </c>
      <c r="B250" s="155" t="s">
        <v>418</v>
      </c>
      <c r="C250" s="124">
        <f>Activities!L239</f>
        <v>0</v>
      </c>
      <c r="D250" s="124">
        <f>Activities!K239</f>
        <v>851296.25</v>
      </c>
      <c r="E250" s="116">
        <f>+D250-C250</f>
        <v>851296.25</v>
      </c>
      <c r="F250" s="124">
        <f>Activities!L239+Activities!M239</f>
        <v>1266153</v>
      </c>
      <c r="G250" s="115">
        <f>Activities!J239+Activities!K239</f>
        <v>1277822</v>
      </c>
      <c r="H250" s="96">
        <f>G250-F250</f>
        <v>11669</v>
      </c>
      <c r="I250" s="118"/>
      <c r="J250" s="119"/>
      <c r="K250" s="120"/>
    </row>
    <row r="251" spans="1:11" ht="37.5" customHeight="1">
      <c r="A251" s="127" t="s">
        <v>356</v>
      </c>
      <c r="B251" s="155" t="s">
        <v>419</v>
      </c>
      <c r="C251" s="124">
        <f>Activities!M240</f>
        <v>0</v>
      </c>
      <c r="D251" s="124">
        <f>Activities!K240</f>
        <v>0</v>
      </c>
      <c r="E251" s="116">
        <f>+D251-C251</f>
        <v>0</v>
      </c>
      <c r="F251" s="124">
        <f>Activities!L240+Activities!M240</f>
        <v>0</v>
      </c>
      <c r="G251" s="115">
        <f>Activities!J240+Activities!K240</f>
        <v>12493.25</v>
      </c>
      <c r="H251" s="96">
        <f>G251-F251</f>
        <v>12493.25</v>
      </c>
      <c r="I251" s="118"/>
      <c r="J251" s="119"/>
      <c r="K251" s="120"/>
    </row>
    <row r="252" spans="1:11" ht="37.5" customHeight="1">
      <c r="A252" s="143"/>
      <c r="B252" s="134" t="s">
        <v>57</v>
      </c>
      <c r="C252" s="135">
        <f>SUM(C249:C251)</f>
        <v>4052388</v>
      </c>
      <c r="D252" s="135">
        <f>SUM(D249:D251)</f>
        <v>11262607.2425</v>
      </c>
      <c r="E252" s="135">
        <f>SUM(E249:E251)</f>
        <v>7210219.2425</v>
      </c>
      <c r="F252" s="135">
        <f>SUM(F249:F251)</f>
        <v>6700493</v>
      </c>
      <c r="G252" s="135">
        <f>SUM(G249:G251)</f>
        <v>15754014.25</v>
      </c>
      <c r="H252" s="135">
        <f>SUM(H249:H251)</f>
        <v>9053521.25</v>
      </c>
      <c r="I252" s="118"/>
      <c r="J252" s="119"/>
      <c r="K252" s="120"/>
    </row>
    <row r="253" spans="1:11" s="75" customFormat="1" ht="37.5" customHeight="1" thickBot="1">
      <c r="A253" s="156"/>
      <c r="B253" s="157" t="s">
        <v>357</v>
      </c>
      <c r="C253" s="158">
        <f>+C244+C247+C252</f>
        <v>34556680</v>
      </c>
      <c r="D253" s="158">
        <f>+D244+D247+D252</f>
        <v>123752160.2425</v>
      </c>
      <c r="E253" s="158">
        <f>+E244+E247+E252</f>
        <v>89195480.2425</v>
      </c>
      <c r="F253" s="158">
        <f>+F244+F247+F252</f>
        <v>89291071</v>
      </c>
      <c r="G253" s="158">
        <f>+G244+G247+G252</f>
        <v>214490667</v>
      </c>
      <c r="H253" s="158">
        <f>+H244+H247+H252</f>
        <v>126851596</v>
      </c>
      <c r="I253" s="159"/>
      <c r="J253" s="160"/>
      <c r="K253" s="161"/>
    </row>
    <row r="254" ht="24.75" customHeight="1" thickTop="1">
      <c r="B254" s="163"/>
    </row>
    <row r="255" spans="2:5" s="24" customFormat="1" ht="36.75" customHeight="1">
      <c r="B255" s="63"/>
      <c r="D255" s="61"/>
      <c r="E255" s="61"/>
    </row>
    <row r="256" spans="2:5" s="24" customFormat="1" ht="24.75" customHeight="1">
      <c r="B256" s="63" t="s">
        <v>446</v>
      </c>
      <c r="D256" s="62"/>
      <c r="E256" s="62"/>
    </row>
    <row r="257" spans="2:5" s="24" customFormat="1" ht="24.75" customHeight="1">
      <c r="B257" s="65" t="s">
        <v>27</v>
      </c>
      <c r="D257" s="62"/>
      <c r="E257" s="62"/>
    </row>
    <row r="258" spans="2:5" s="24" customFormat="1" ht="24.75" customHeight="1">
      <c r="B258" s="63"/>
      <c r="D258" s="62"/>
      <c r="E258" s="62"/>
    </row>
    <row r="259" spans="2:5" s="24" customFormat="1" ht="24.75" customHeight="1">
      <c r="B259" s="63" t="s">
        <v>28</v>
      </c>
      <c r="D259" s="62"/>
      <c r="E259" s="62"/>
    </row>
    <row r="260" spans="2:5" s="24" customFormat="1" ht="24.75" customHeight="1">
      <c r="B260" s="65" t="s">
        <v>449</v>
      </c>
      <c r="D260" s="62"/>
      <c r="E260" s="62"/>
    </row>
    <row r="261" ht="37.5" customHeight="1">
      <c r="B261" s="63"/>
    </row>
    <row r="262" ht="24.75" customHeight="1">
      <c r="B262" s="63" t="s">
        <v>29</v>
      </c>
    </row>
    <row r="263" ht="24.75" customHeight="1">
      <c r="B263" s="65" t="s">
        <v>30</v>
      </c>
    </row>
  </sheetData>
  <sheetProtection/>
  <mergeCells count="6">
    <mergeCell ref="A1:K1"/>
    <mergeCell ref="A2:K2"/>
    <mergeCell ref="A3:K3"/>
    <mergeCell ref="A4:K4"/>
    <mergeCell ref="C5:E5"/>
    <mergeCell ref="F5:H5"/>
  </mergeCells>
  <printOptions/>
  <pageMargins left="0.5905511811023623" right="0.31496062992125984" top="0.35433070866141736" bottom="0.15748031496062992" header="0.31496062992125984" footer="0.11811023622047245"/>
  <pageSetup orientation="landscape" paperSize="9" scale="41" r:id="rId2"/>
  <rowBreaks count="8" manualBreakCount="8">
    <brk id="30" max="255" man="1"/>
    <brk id="60" max="255" man="1"/>
    <brk id="90" max="255" man="1"/>
    <brk id="118" max="255" man="1"/>
    <brk id="150" max="10" man="1"/>
    <brk id="183" max="255" man="1"/>
    <brk id="211" max="255" man="1"/>
    <brk id="24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="70" zoomScaleNormal="70" zoomScalePageLayoutView="70" workbookViewId="0" topLeftCell="B13">
      <selection activeCell="D32" sqref="D32"/>
    </sheetView>
  </sheetViews>
  <sheetFormatPr defaultColWidth="16.28125" defaultRowHeight="12.75"/>
  <cols>
    <col min="1" max="1" width="16.28125" style="316" customWidth="1"/>
    <col min="2" max="2" width="9.421875" style="316" customWidth="1"/>
    <col min="3" max="3" width="35.7109375" style="316" customWidth="1"/>
    <col min="4" max="4" width="62.28125" style="316" bestFit="1" customWidth="1"/>
    <col min="5" max="5" width="46.7109375" style="316" customWidth="1"/>
    <col min="6" max="6" width="24.28125" style="363" customWidth="1"/>
    <col min="7" max="7" width="24.00390625" style="363" customWidth="1"/>
    <col min="8" max="8" width="23.7109375" style="363" bestFit="1" customWidth="1"/>
    <col min="9" max="9" width="18.421875" style="316" bestFit="1" customWidth="1"/>
    <col min="10" max="16384" width="16.28125" style="316" customWidth="1"/>
  </cols>
  <sheetData>
    <row r="1" spans="3:8" ht="14.25">
      <c r="C1" s="412" t="s">
        <v>0</v>
      </c>
      <c r="D1" s="413"/>
      <c r="E1" s="414"/>
      <c r="F1" s="317"/>
      <c r="G1" s="317"/>
      <c r="H1" s="317"/>
    </row>
    <row r="2" spans="3:8" ht="14.25">
      <c r="C2" s="412" t="s">
        <v>1</v>
      </c>
      <c r="D2" s="413"/>
      <c r="E2" s="414"/>
      <c r="F2" s="317"/>
      <c r="G2" s="317"/>
      <c r="H2" s="317"/>
    </row>
    <row r="3" spans="3:8" ht="14.25">
      <c r="C3" s="318" t="s">
        <v>370</v>
      </c>
      <c r="D3" s="319"/>
      <c r="E3" s="320"/>
      <c r="F3" s="317"/>
      <c r="G3" s="317"/>
      <c r="H3" s="317"/>
    </row>
    <row r="4" spans="3:8" ht="14.25">
      <c r="C4" s="318"/>
      <c r="D4" s="319"/>
      <c r="E4" s="320"/>
      <c r="F4" s="317"/>
      <c r="G4" s="317"/>
      <c r="H4" s="317"/>
    </row>
    <row r="5" spans="3:9" ht="39.75" customHeight="1">
      <c r="C5" s="321" t="s">
        <v>371</v>
      </c>
      <c r="D5" s="322" t="s">
        <v>372</v>
      </c>
      <c r="E5" s="323" t="s">
        <v>373</v>
      </c>
      <c r="F5" s="324" t="s">
        <v>374</v>
      </c>
      <c r="G5" s="324" t="s">
        <v>375</v>
      </c>
      <c r="H5" s="324" t="s">
        <v>376</v>
      </c>
      <c r="I5" s="325"/>
    </row>
    <row r="6" spans="3:8" ht="78.75" customHeight="1">
      <c r="C6" s="326" t="s">
        <v>377</v>
      </c>
      <c r="D6" s="327" t="s">
        <v>378</v>
      </c>
      <c r="E6" s="328" t="s">
        <v>379</v>
      </c>
      <c r="F6" s="329">
        <v>600000</v>
      </c>
      <c r="G6" s="329">
        <v>600000</v>
      </c>
      <c r="H6" s="329" t="s">
        <v>380</v>
      </c>
    </row>
    <row r="7" spans="1:8" ht="46.5" customHeight="1">
      <c r="A7" s="325"/>
      <c r="B7" s="325"/>
      <c r="C7" s="330"/>
      <c r="D7" s="331" t="s">
        <v>381</v>
      </c>
      <c r="E7" s="332"/>
      <c r="F7" s="333">
        <v>500000</v>
      </c>
      <c r="G7" s="333">
        <v>500000</v>
      </c>
      <c r="H7" s="333" t="s">
        <v>380</v>
      </c>
    </row>
    <row r="8" spans="3:8" ht="39.75" customHeight="1">
      <c r="C8" s="326" t="s">
        <v>382</v>
      </c>
      <c r="D8" s="334" t="s">
        <v>383</v>
      </c>
      <c r="E8" s="335" t="s">
        <v>384</v>
      </c>
      <c r="F8" s="336">
        <v>500000</v>
      </c>
      <c r="G8" s="333" t="s">
        <v>380</v>
      </c>
      <c r="H8" s="337">
        <v>500000</v>
      </c>
    </row>
    <row r="9" spans="3:8" ht="39.75" customHeight="1">
      <c r="C9" s="338" t="s">
        <v>385</v>
      </c>
      <c r="D9" s="339" t="s">
        <v>386</v>
      </c>
      <c r="E9" s="340"/>
      <c r="F9" s="341"/>
      <c r="G9" s="342"/>
      <c r="H9" s="343"/>
    </row>
    <row r="10" spans="3:9" ht="39.75" customHeight="1">
      <c r="C10" s="344"/>
      <c r="D10" s="345" t="s">
        <v>387</v>
      </c>
      <c r="E10" s="346" t="s">
        <v>420</v>
      </c>
      <c r="F10" s="342">
        <v>1200000</v>
      </c>
      <c r="G10" s="342" t="s">
        <v>380</v>
      </c>
      <c r="H10" s="342">
        <v>1200000</v>
      </c>
      <c r="I10" s="363"/>
    </row>
    <row r="11" spans="3:8" ht="39.75" customHeight="1">
      <c r="C11" s="344"/>
      <c r="D11" s="347" t="s">
        <v>388</v>
      </c>
      <c r="E11" s="348" t="s">
        <v>389</v>
      </c>
      <c r="F11" s="329">
        <v>600000</v>
      </c>
      <c r="G11" s="329" t="s">
        <v>380</v>
      </c>
      <c r="H11" s="329">
        <v>600000</v>
      </c>
    </row>
    <row r="12" spans="3:8" ht="60.75" customHeight="1">
      <c r="C12" s="344"/>
      <c r="D12" s="347" t="s">
        <v>390</v>
      </c>
      <c r="E12" s="327" t="s">
        <v>421</v>
      </c>
      <c r="F12" s="329">
        <v>200000</v>
      </c>
      <c r="G12" s="329" t="s">
        <v>380</v>
      </c>
      <c r="H12" s="329">
        <v>200000</v>
      </c>
    </row>
    <row r="13" spans="3:8" ht="54.75" customHeight="1">
      <c r="C13" s="344"/>
      <c r="D13" s="347" t="s">
        <v>391</v>
      </c>
      <c r="E13" s="327" t="s">
        <v>422</v>
      </c>
      <c r="F13" s="329">
        <v>300000</v>
      </c>
      <c r="G13" s="329" t="s">
        <v>380</v>
      </c>
      <c r="H13" s="329">
        <v>300000</v>
      </c>
    </row>
    <row r="14" spans="3:8" ht="88.5" customHeight="1">
      <c r="C14" s="344"/>
      <c r="D14" s="347" t="s">
        <v>392</v>
      </c>
      <c r="E14" s="327" t="s">
        <v>393</v>
      </c>
      <c r="F14" s="329">
        <v>500000</v>
      </c>
      <c r="G14" s="329" t="s">
        <v>380</v>
      </c>
      <c r="H14" s="329">
        <v>500000</v>
      </c>
    </row>
    <row r="15" spans="3:9" ht="39.75" customHeight="1">
      <c r="C15" s="344"/>
      <c r="D15" s="347" t="s">
        <v>394</v>
      </c>
      <c r="E15" s="327" t="s">
        <v>423</v>
      </c>
      <c r="F15" s="349">
        <f>211279.48</f>
        <v>211279.48</v>
      </c>
      <c r="G15" s="349" t="s">
        <v>380</v>
      </c>
      <c r="H15" s="329">
        <v>900000</v>
      </c>
      <c r="I15" s="350"/>
    </row>
    <row r="16" spans="3:8" ht="39.75" customHeight="1">
      <c r="C16" s="344"/>
      <c r="D16" s="351" t="s">
        <v>395</v>
      </c>
      <c r="E16" s="352" t="s">
        <v>424</v>
      </c>
      <c r="F16" s="329">
        <v>100000</v>
      </c>
      <c r="G16" s="329" t="s">
        <v>380</v>
      </c>
      <c r="H16" s="329">
        <v>100000</v>
      </c>
    </row>
    <row r="17" spans="3:8" ht="47.25" customHeight="1">
      <c r="C17" s="326" t="s">
        <v>396</v>
      </c>
      <c r="D17" s="347" t="s">
        <v>397</v>
      </c>
      <c r="E17" s="327" t="s">
        <v>425</v>
      </c>
      <c r="F17" s="329">
        <v>75000</v>
      </c>
      <c r="G17" s="329" t="s">
        <v>380</v>
      </c>
      <c r="H17" s="329">
        <v>75000</v>
      </c>
    </row>
    <row r="18" spans="3:9" ht="39.75" customHeight="1">
      <c r="C18" s="338" t="s">
        <v>398</v>
      </c>
      <c r="D18" s="347" t="s">
        <v>399</v>
      </c>
      <c r="E18" s="352" t="s">
        <v>400</v>
      </c>
      <c r="F18" s="329">
        <v>75000</v>
      </c>
      <c r="G18" s="329" t="s">
        <v>380</v>
      </c>
      <c r="H18" s="329">
        <v>75000</v>
      </c>
      <c r="I18" s="350"/>
    </row>
    <row r="19" spans="3:8" ht="39.75" customHeight="1">
      <c r="C19" s="344"/>
      <c r="D19" s="347" t="s">
        <v>401</v>
      </c>
      <c r="E19" s="352" t="s">
        <v>400</v>
      </c>
      <c r="F19" s="329">
        <v>75000</v>
      </c>
      <c r="G19" s="329" t="s">
        <v>380</v>
      </c>
      <c r="H19" s="329">
        <v>75000</v>
      </c>
    </row>
    <row r="20" spans="3:8" ht="52.5" customHeight="1">
      <c r="C20" s="344"/>
      <c r="D20" s="351" t="s">
        <v>402</v>
      </c>
      <c r="E20" s="347" t="s">
        <v>426</v>
      </c>
      <c r="F20" s="329">
        <v>75000</v>
      </c>
      <c r="G20" s="329" t="s">
        <v>380</v>
      </c>
      <c r="H20" s="329">
        <v>75000</v>
      </c>
    </row>
    <row r="21" spans="3:8" ht="39.75" customHeight="1">
      <c r="C21" s="335" t="s">
        <v>403</v>
      </c>
      <c r="D21" s="353" t="s">
        <v>404</v>
      </c>
      <c r="E21" s="354" t="s">
        <v>384</v>
      </c>
      <c r="F21" s="333">
        <v>150000</v>
      </c>
      <c r="G21" s="336" t="s">
        <v>380</v>
      </c>
      <c r="H21" s="333">
        <v>150000</v>
      </c>
    </row>
    <row r="22" spans="3:8" ht="39.75" customHeight="1">
      <c r="C22" s="355" t="s">
        <v>405</v>
      </c>
      <c r="D22" s="356" t="s">
        <v>406</v>
      </c>
      <c r="E22" s="357" t="s">
        <v>384</v>
      </c>
      <c r="F22" s="342"/>
      <c r="G22" s="341"/>
      <c r="H22" s="342"/>
    </row>
    <row r="23" spans="3:8" ht="39.75" customHeight="1">
      <c r="C23" s="358"/>
      <c r="D23" s="353" t="s">
        <v>407</v>
      </c>
      <c r="E23" s="335" t="s">
        <v>384</v>
      </c>
      <c r="F23" s="333">
        <v>150000</v>
      </c>
      <c r="G23" s="359" t="s">
        <v>380</v>
      </c>
      <c r="H23" s="333">
        <v>150000</v>
      </c>
    </row>
    <row r="24" spans="3:8" ht="39.75" customHeight="1">
      <c r="C24" s="360"/>
      <c r="D24" s="361" t="s">
        <v>408</v>
      </c>
      <c r="E24" s="340" t="s">
        <v>384</v>
      </c>
      <c r="F24" s="342"/>
      <c r="G24" s="362"/>
      <c r="H24" s="342"/>
    </row>
    <row r="25" ht="39.75" customHeight="1"/>
    <row r="26" spans="2:5" s="24" customFormat="1" ht="58.5" customHeight="1">
      <c r="B26" s="23"/>
      <c r="C26" s="63"/>
      <c r="D26" s="61"/>
      <c r="E26" s="61"/>
    </row>
    <row r="27" spans="2:5" s="24" customFormat="1" ht="24.75" customHeight="1">
      <c r="B27" s="23"/>
      <c r="C27" s="63" t="s">
        <v>446</v>
      </c>
      <c r="D27" s="62"/>
      <c r="E27" s="62"/>
    </row>
    <row r="28" spans="2:5" s="24" customFormat="1" ht="24.75" customHeight="1">
      <c r="B28" s="23"/>
      <c r="C28" s="65" t="s">
        <v>27</v>
      </c>
      <c r="D28" s="62"/>
      <c r="E28" s="62"/>
    </row>
    <row r="29" spans="2:5" s="24" customFormat="1" ht="51.75" customHeight="1">
      <c r="B29" s="23"/>
      <c r="C29" s="63"/>
      <c r="D29" s="62"/>
      <c r="E29" s="62"/>
    </row>
    <row r="30" spans="2:5" s="24" customFormat="1" ht="24.75" customHeight="1">
      <c r="B30" s="23"/>
      <c r="C30" s="63" t="s">
        <v>28</v>
      </c>
      <c r="D30" s="62"/>
      <c r="E30" s="62"/>
    </row>
    <row r="31" spans="2:5" s="24" customFormat="1" ht="24.75" customHeight="1">
      <c r="B31" s="23"/>
      <c r="C31" s="65" t="s">
        <v>449</v>
      </c>
      <c r="D31" s="62"/>
      <c r="E31" s="62"/>
    </row>
    <row r="32" ht="51" customHeight="1">
      <c r="C32" s="63"/>
    </row>
    <row r="33" ht="14.25">
      <c r="C33" s="63" t="s">
        <v>29</v>
      </c>
    </row>
    <row r="34" ht="14.25">
      <c r="C34" s="65" t="s">
        <v>30</v>
      </c>
    </row>
  </sheetData>
  <sheetProtection/>
  <mergeCells count="2">
    <mergeCell ref="C1:E1"/>
    <mergeCell ref="C2:E2"/>
  </mergeCells>
  <printOptions/>
  <pageMargins left="0.7" right="0.7" top="0.75" bottom="0.75" header="0.3" footer="0.3"/>
  <pageSetup horizontalDpi="180" verticalDpi="180" orientation="landscape" scale="4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5">
      <selection activeCell="A10" sqref="A10"/>
    </sheetView>
  </sheetViews>
  <sheetFormatPr defaultColWidth="9.140625" defaultRowHeight="35.25" customHeight="1"/>
  <cols>
    <col min="1" max="1" width="51.28125" style="2" customWidth="1"/>
    <col min="2" max="2" width="19.421875" style="2" bestFit="1" customWidth="1"/>
    <col min="3" max="3" width="22.00390625" style="2" customWidth="1"/>
    <col min="4" max="16384" width="9.140625" style="2" customWidth="1"/>
  </cols>
  <sheetData>
    <row r="1" spans="1:4" ht="35.25" customHeight="1">
      <c r="A1" s="415" t="s">
        <v>409</v>
      </c>
      <c r="B1" s="416"/>
      <c r="C1" s="417"/>
      <c r="D1" s="1"/>
    </row>
    <row r="2" spans="1:4" ht="35.25" customHeight="1">
      <c r="A2" s="418" t="s">
        <v>1</v>
      </c>
      <c r="B2" s="419"/>
      <c r="C2" s="420"/>
      <c r="D2" s="1"/>
    </row>
    <row r="3" spans="1:4" ht="35.25" customHeight="1">
      <c r="A3" s="418" t="s">
        <v>410</v>
      </c>
      <c r="B3" s="419"/>
      <c r="C3" s="420"/>
      <c r="D3" s="3"/>
    </row>
    <row r="4" spans="1:4" ht="35.25" customHeight="1">
      <c r="A4" s="421" t="s">
        <v>451</v>
      </c>
      <c r="B4" s="422"/>
      <c r="C4" s="423"/>
      <c r="D4" s="3"/>
    </row>
    <row r="5" spans="1:3" s="4" customFormat="1" ht="35.25" customHeight="1">
      <c r="A5" s="424" t="s">
        <v>411</v>
      </c>
      <c r="B5" s="425" t="s">
        <v>412</v>
      </c>
      <c r="C5" s="426" t="s">
        <v>413</v>
      </c>
    </row>
    <row r="6" spans="1:3" s="4" customFormat="1" ht="35.25" customHeight="1">
      <c r="A6" s="424"/>
      <c r="B6" s="425"/>
      <c r="C6" s="427"/>
    </row>
    <row r="7" spans="1:3" s="4" customFormat="1" ht="35.25" customHeight="1">
      <c r="A7" s="424"/>
      <c r="B7" s="425"/>
      <c r="C7" s="427"/>
    </row>
    <row r="8" spans="1:3" ht="35.25" customHeight="1">
      <c r="A8" s="5"/>
      <c r="B8" s="6"/>
      <c r="C8" s="7"/>
    </row>
    <row r="9" spans="1:3" s="4" customFormat="1" ht="35.25" customHeight="1">
      <c r="A9" s="8"/>
      <c r="B9" s="9" t="s">
        <v>7</v>
      </c>
      <c r="C9" s="10" t="s">
        <v>7</v>
      </c>
    </row>
    <row r="10" spans="1:3" ht="35.25" customHeight="1">
      <c r="A10" s="11" t="s">
        <v>414</v>
      </c>
      <c r="B10" s="12">
        <v>2039541476</v>
      </c>
      <c r="C10" s="13">
        <f>B10</f>
        <v>2039541476</v>
      </c>
    </row>
    <row r="11" spans="1:3" ht="35.25" customHeight="1">
      <c r="A11" s="14" t="s">
        <v>415</v>
      </c>
      <c r="B11" s="15">
        <v>0</v>
      </c>
      <c r="C11" s="16">
        <v>0</v>
      </c>
    </row>
    <row r="12" spans="1:3" ht="35.25" customHeight="1">
      <c r="A12" s="17" t="s">
        <v>416</v>
      </c>
      <c r="B12" s="18">
        <f>B10+B11</f>
        <v>2039541476</v>
      </c>
      <c r="C12" s="19">
        <f>C10+C11</f>
        <v>2039541476</v>
      </c>
    </row>
    <row r="13" spans="1:3" ht="35.25" customHeight="1" thickBot="1">
      <c r="A13" s="20"/>
      <c r="B13" s="21"/>
      <c r="C13" s="22"/>
    </row>
    <row r="14" ht="35.25" customHeight="1" thickTop="1"/>
    <row r="15" spans="1:5" s="24" customFormat="1" ht="36" customHeight="1">
      <c r="A15" s="63"/>
      <c r="B15" s="23"/>
      <c r="D15" s="61"/>
      <c r="E15" s="61"/>
    </row>
    <row r="16" spans="1:5" s="24" customFormat="1" ht="24.75" customHeight="1">
      <c r="A16" s="63" t="s">
        <v>446</v>
      </c>
      <c r="B16" s="23"/>
      <c r="D16" s="62"/>
      <c r="E16" s="62"/>
    </row>
    <row r="17" spans="1:5" s="24" customFormat="1" ht="24.75" customHeight="1">
      <c r="A17" s="65" t="s">
        <v>27</v>
      </c>
      <c r="B17" s="23"/>
      <c r="D17" s="62"/>
      <c r="E17" s="62"/>
    </row>
    <row r="18" spans="1:5" s="24" customFormat="1" ht="24.75" customHeight="1">
      <c r="A18" s="63"/>
      <c r="B18" s="23"/>
      <c r="D18" s="62"/>
      <c r="E18" s="62"/>
    </row>
    <row r="19" spans="1:5" s="24" customFormat="1" ht="24.75" customHeight="1">
      <c r="A19" s="63" t="s">
        <v>28</v>
      </c>
      <c r="B19" s="23"/>
      <c r="D19" s="62"/>
      <c r="E19" s="62"/>
    </row>
    <row r="20" spans="1:5" s="24" customFormat="1" ht="24.75" customHeight="1">
      <c r="A20" s="65" t="s">
        <v>449</v>
      </c>
      <c r="B20" s="23"/>
      <c r="C20" s="65"/>
      <c r="D20" s="62"/>
      <c r="E20" s="62"/>
    </row>
    <row r="21" ht="35.25" customHeight="1">
      <c r="A21" s="63"/>
    </row>
    <row r="22" ht="35.25" customHeight="1">
      <c r="A22" s="63" t="s">
        <v>29</v>
      </c>
    </row>
    <row r="23" ht="35.25" customHeight="1">
      <c r="A23" s="65" t="s">
        <v>30</v>
      </c>
    </row>
  </sheetData>
  <sheetProtection/>
  <mergeCells count="7">
    <mergeCell ref="A1:C1"/>
    <mergeCell ref="A2:C2"/>
    <mergeCell ref="A3:C3"/>
    <mergeCell ref="A4:C4"/>
    <mergeCell ref="A5:A7"/>
    <mergeCell ref="B5:B7"/>
    <mergeCell ref="C5:C7"/>
  </mergeCells>
  <printOptions/>
  <pageMargins left="0.7" right="0.7" top="0.75" bottom="0.75" header="0.3" footer="0.3"/>
  <pageSetup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2019-08-14T14:52:20Z</cp:lastPrinted>
  <dcterms:created xsi:type="dcterms:W3CDTF">2019-02-15T13:30:26Z</dcterms:created>
  <dcterms:modified xsi:type="dcterms:W3CDTF">2019-09-09T06:12:13Z</dcterms:modified>
  <cp:category/>
  <cp:version/>
  <cp:contentType/>
  <cp:contentStatus/>
</cp:coreProperties>
</file>